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me" sheetId="1" state="visible" r:id="rId3"/>
    <sheet name="Client Master" sheetId="2" state="visible" r:id="rId4"/>
    <sheet name="Work Master" sheetId="3" state="visible" r:id="rId5"/>
    <sheet name="Work In Progress" sheetId="4" state="visible" r:id="rId6"/>
    <sheet name="Work Not Started" sheetId="5" state="visible" r:id="rId7"/>
    <sheet name="Fees Pending" sheetId="6" state="visible" r:id="rId8"/>
    <sheet name="Lists" sheetId="7" state="visible" r:id="rId9"/>
  </sheets>
  <definedNames>
    <definedName function="false" hidden="true" localSheetId="5" name="_xlnm._FilterDatabase" vbProcedure="false">'Fees Pending'!$A$1:$F$201</definedName>
    <definedName function="false" hidden="true" localSheetId="3" name="_xlnm._FilterDatabase" vbProcedure="false">'Work In Progress'!$A$1:$F$201</definedName>
    <definedName function="false" hidden="true" localSheetId="4" name="_xlnm._FilterDatabase" vbProcedure="false">'Work Not Started'!$A$1:$E$201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<sst xmlns="http://schemas.openxmlformats.org/spreadsheetml/2006/main" count="152" uniqueCount="109">
  <si>
    <t xml:space="preserve">CA CLIENT &amp; WORK TRACKER</t>
  </si>
  <si>
    <t xml:space="preserve">A free, offline practice-management template for Chartered Accountants</t>
  </si>
  <si>
    <t xml:space="preserve">https://itsummary.in</t>
  </si>
  <si>
    <t xml:space="preserve">What this tool does</t>
  </si>
  <si>
    <t xml:space="preserve">Track all your clients and every assignment in one place. See what's pending, what's overdue, which fees are still to be received, and which jobs haven't been started - all updating automatically.</t>
  </si>
  <si>
    <t xml:space="preserve">100% offline &amp; private</t>
  </si>
  <si>
    <t xml:space="preserve">This is an ordinary Excel file. Your client data stays on YOUR computer - nothing is uploaded anywhere. No login, no internet, no macros. Safe to use for confidential client information.</t>
  </si>
  <si>
    <t xml:space="preserve">How to use it</t>
  </si>
  <si>
    <t xml:space="preserve">1. Fill 'Client Master' - one row per client (give each a unique Client Code like C001).  2. Log each assignment as a row in 'Work Master'.  The client name fills in automatically from the code.  3. The 'Fees Pending' and 'Work Not Started' sheets update by themselves - just read them.</t>
  </si>
  <si>
    <t xml:space="preserve">Tips</t>
  </si>
  <si>
    <t xml:space="preserve">Cream-coloured cells are for you to type in.  White cells with a light tint are automatic - leave them alone.  Overdue works turn orange; once you enter a Receipt Date, that fee turns green (received).  Edit the 'Lists' sheet to add your own staff names and assignment types.</t>
  </si>
  <si>
    <t xml:space="preserve">Found this useful? Visit https://itsummary.in for more free tools and resources.</t>
  </si>
  <si>
    <t xml:space="preserve">Provided free, as-is, without warranty. Always keep your own backups of important data. You are free to use and share this template. Please keep the https://itsummary.in attribution.</t>
  </si>
  <si>
    <t xml:space="preserve">Serial No.</t>
  </si>
  <si>
    <t xml:space="preserve">Client Code</t>
  </si>
  <si>
    <t xml:space="preserve">Name</t>
  </si>
  <si>
    <t xml:space="preserve">Reference</t>
  </si>
  <si>
    <t xml:space="preserve">Type of Person</t>
  </si>
  <si>
    <t xml:space="preserve">Activity</t>
  </si>
  <si>
    <t xml:space="preserve">Contact No.</t>
  </si>
  <si>
    <t xml:space="preserve">Email</t>
  </si>
  <si>
    <t xml:space="preserve">PAN</t>
  </si>
  <si>
    <t xml:space="preserve">GSTIN</t>
  </si>
  <si>
    <t xml:space="preserve">Client Status</t>
  </si>
  <si>
    <t xml:space="preserve">C001</t>
  </si>
  <si>
    <t xml:space="preserve">Sample Traders (example row)</t>
  </si>
  <si>
    <t xml:space="preserve">Referred by CA Kumar</t>
  </si>
  <si>
    <t xml:space="preserve">Partnership Firm</t>
  </si>
  <si>
    <t xml:space="preserve">Trading</t>
  </si>
  <si>
    <t xml:space="preserve">9876543210</t>
  </si>
  <si>
    <t xml:space="preserve">sample@mail.com</t>
  </si>
  <si>
    <t xml:space="preserve">AAAAA1111A</t>
  </si>
  <si>
    <t xml:space="preserve">33AAAAA1111A1Z5</t>
  </si>
  <si>
    <t xml:space="preserve">Active</t>
  </si>
  <si>
    <t xml:space="preserve">Work ID</t>
  </si>
  <si>
    <t xml:space="preserve">Client Name</t>
  </si>
  <si>
    <t xml:space="preserve">Assignment</t>
  </si>
  <si>
    <t xml:space="preserve">Period / FY</t>
  </si>
  <si>
    <t xml:space="preserve">Work Status</t>
  </si>
  <si>
    <t xml:space="preserve">Due Date</t>
  </si>
  <si>
    <t xml:space="preserve">Reminder Date</t>
  </si>
  <si>
    <t xml:space="preserve">Staff Assigned</t>
  </si>
  <si>
    <t xml:space="preserve">Fee in Rs.</t>
  </si>
  <si>
    <t xml:space="preserve">Receipt Date</t>
  </si>
  <si>
    <t xml:space="preserve">Remarks</t>
  </si>
  <si>
    <t xml:space="preserve">2627-W001</t>
  </si>
  <si>
    <t xml:space="preserve">GST Return - GSTR-3B</t>
  </si>
  <si>
    <t xml:space="preserve">Jun-2026</t>
  </si>
  <si>
    <t xml:space="preserve">In Progress</t>
  </si>
  <si>
    <t xml:space="preserve">Staff 1</t>
  </si>
  <si>
    <t xml:space="preserve">Awaiting sales data</t>
  </si>
  <si>
    <t xml:space="preserve">2627-W002</t>
  </si>
  <si>
    <t xml:space="preserve">Income Tax Return</t>
  </si>
  <si>
    <t xml:space="preserve">FY 2025-26</t>
  </si>
  <si>
    <t xml:space="preserve">Not Started</t>
  </si>
  <si>
    <t xml:space="preserve">Staff 2</t>
  </si>
  <si>
    <t xml:space="preserve">Example row</t>
  </si>
  <si>
    <t xml:space="preserve">2627-W003</t>
  </si>
  <si>
    <t xml:space="preserve">Tax Audit</t>
  </si>
  <si>
    <t xml:space="preserve">Completed</t>
  </si>
  <si>
    <t xml:space="preserve">Fee received</t>
  </si>
  <si>
    <t xml:space="preserve">Auto-updates, earliest due first. Shows In Progress, Pending Client Data and Under Review works.</t>
  </si>
  <si>
    <t xml:space="preserve">Count in progress:</t>
  </si>
  <si>
    <t xml:space="preserve">Free tool by  https://itsummary.in</t>
  </si>
  <si>
    <t xml:space="preserve">Auto-updates. Shows every work whose status is 'Not Started'.</t>
  </si>
  <si>
    <t xml:space="preserve">Count not started:</t>
  </si>
  <si>
    <t xml:space="preserve">Auto-updates from Work Master. Shows fees entered but not yet received.</t>
  </si>
  <si>
    <t xml:space="preserve">Total outstanding:</t>
  </si>
  <si>
    <t xml:space="preserve">Staff</t>
  </si>
  <si>
    <t xml:space="preserve">Edit these lists freely - dropdowns in the masters update automatically. Replace Staff 1..10 with real names.</t>
  </si>
  <si>
    <t xml:space="preserve">Individual</t>
  </si>
  <si>
    <t xml:space="preserve">GST Return - GSTR-1</t>
  </si>
  <si>
    <t xml:space="preserve">HUF</t>
  </si>
  <si>
    <t xml:space="preserve">Manufacturing</t>
  </si>
  <si>
    <t xml:space="preserve">Inactive</t>
  </si>
  <si>
    <t xml:space="preserve">Services</t>
  </si>
  <si>
    <t xml:space="preserve">GST Annual Return</t>
  </si>
  <si>
    <t xml:space="preserve">Pending Client Data</t>
  </si>
  <si>
    <t xml:space="preserve">Staff 3</t>
  </si>
  <si>
    <t xml:space="preserve">LLP</t>
  </si>
  <si>
    <t xml:space="preserve">Profession</t>
  </si>
  <si>
    <t xml:space="preserve">Under Review</t>
  </si>
  <si>
    <t xml:space="preserve">Staff 4</t>
  </si>
  <si>
    <t xml:space="preserve">Private Limited</t>
  </si>
  <si>
    <t xml:space="preserve">Construction</t>
  </si>
  <si>
    <t xml:space="preserve">TDS Return</t>
  </si>
  <si>
    <t xml:space="preserve">Staff 5</t>
  </si>
  <si>
    <t xml:space="preserve">Public Limited</t>
  </si>
  <si>
    <t xml:space="preserve">Agriculture</t>
  </si>
  <si>
    <t xml:space="preserve">Advance Tax</t>
  </si>
  <si>
    <t xml:space="preserve">Deferred</t>
  </si>
  <si>
    <t xml:space="preserve">Staff 6</t>
  </si>
  <si>
    <t xml:space="preserve">Trust</t>
  </si>
  <si>
    <t xml:space="preserve">Salaried</t>
  </si>
  <si>
    <t xml:space="preserve">Cancelled</t>
  </si>
  <si>
    <t xml:space="preserve">Staff 7</t>
  </si>
  <si>
    <t xml:space="preserve">AOP/BOI</t>
  </si>
  <si>
    <t xml:space="preserve">Others</t>
  </si>
  <si>
    <t xml:space="preserve">Statutory Audit</t>
  </si>
  <si>
    <t xml:space="preserve">Staff 8</t>
  </si>
  <si>
    <t xml:space="preserve">Society</t>
  </si>
  <si>
    <t xml:space="preserve">ROC Filing</t>
  </si>
  <si>
    <t xml:space="preserve">Staff 9</t>
  </si>
  <si>
    <t xml:space="preserve">Accounting</t>
  </si>
  <si>
    <t xml:space="preserve">Staff 10</t>
  </si>
  <si>
    <t xml:space="preserve">Certification</t>
  </si>
  <si>
    <t xml:space="preserve">Registration</t>
  </si>
  <si>
    <t xml:space="preserve">Incorporation</t>
  </si>
  <si>
    <t xml:space="preserve">Notice / Assessment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</si>
</sst>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\-yyyy"/>
    <numFmt numFmtId="166" formatCode="#,##0;;\-"/>
    <numFmt numFmtId="167" formatCode="General"/>
    <numFmt numFmtId="168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4E5F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u val="single"/>
      <sz val="11"/>
      <color rgb="FF1155CC"/>
      <name val="Arial"/>
      <family val="0"/>
      <charset val="1"/>
    </font>
    <font>
      <b val="true"/>
      <sz val="12"/>
      <color rgb="FF1F4E5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4E5F"/>
      <name val="Arial"/>
      <family val="0"/>
      <charset val="1"/>
    </font>
    <font>
      <i val="true"/>
      <sz val="8"/>
      <color rgb="FF99999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i val="true"/>
      <sz val="9"/>
      <color rgb="FF1F4E5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5F"/>
        <bgColor rgb="FF555555"/>
      </patternFill>
    </fill>
    <fill>
      <patternFill patternType="solid">
        <fgColor rgb="FFFFFDF0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8A1500"/>
        <sz val="10"/>
      </font>
      <fill>
        <patternFill>
          <bgColor rgb="FFF6C6BF"/>
        </patternFill>
      </fill>
    </dxf>
    <dxf>
      <font>
        <name val="Arial"/>
        <charset val="1"/>
        <family val="0"/>
        <b val="1"/>
        <color rgb="FF1E6B1E"/>
        <sz val="10"/>
      </font>
      <fill>
        <patternFill>
          <bgColor rgb="FFC6E7C6"/>
        </patternFill>
      </fill>
    </dxf>
    <dxf>
      <fill>
        <patternFill patternType="solid">
          <fgColor rgb="FF1F4E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A1500"/>
      <rgbColor rgb="FF1E6B1E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DF0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7C6"/>
      <rgbColor rgb="FFFFFF99"/>
      <rgbColor rgb="FF99CCFF"/>
      <rgbColor rgb="FFFF99CC"/>
      <rgbColor rgb="FFCC99FF"/>
      <rgbColor rgb="FFF6C6BF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1F4E5F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tsummary.in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7" min="2" style="0" width="20"/>
    <col collapsed="false" customWidth="true" hidden="false" outlineLevel="0" max="8" min="8" style="0" width="3"/>
  </cols>
  <sheetData>
    <row r="2" customFormat="false" ht="24.45" hidden="false" customHeight="false" outlineLevel="0" collapsed="false">
      <c r="B2" s="1" t="s">
        <v>0</v>
      </c>
      <c r="C2" s="1"/>
      <c r="D2" s="1"/>
      <c r="E2" s="1"/>
      <c r="F2" s="1"/>
      <c r="G2" s="1"/>
    </row>
    <row r="3" customFormat="false" ht="15" hidden="false" customHeight="false" outlineLevel="0" collapsed="false">
      <c r="B3" s="2" t="s">
        <v>1</v>
      </c>
      <c r="C3" s="2"/>
      <c r="D3" s="2"/>
      <c r="E3" s="2"/>
      <c r="F3" s="2"/>
      <c r="G3" s="2"/>
    </row>
    <row r="5" customFormat="false" ht="15" hidden="false" customHeight="false" outlineLevel="0" collapsed="false">
      <c r="B5" s="3" t="s">
        <v>2</v>
      </c>
      <c r="C5" s="3"/>
      <c r="D5" s="3"/>
      <c r="E5" s="3"/>
      <c r="F5" s="3"/>
      <c r="G5" s="3"/>
    </row>
    <row r="7" customFormat="false" ht="15" hidden="false" customHeight="false" outlineLevel="0" collapsed="false">
      <c r="B7" s="4" t="s">
        <v>3</v>
      </c>
      <c r="C7" s="4"/>
      <c r="D7" s="4"/>
      <c r="E7" s="4"/>
      <c r="F7" s="4"/>
      <c r="G7" s="4"/>
    </row>
    <row r="8" customFormat="false" ht="42" hidden="false" customHeight="true" outlineLevel="0" collapsed="false">
      <c r="B8" s="5" t="s">
        <v>4</v>
      </c>
      <c r="C8" s="5"/>
      <c r="D8" s="5"/>
      <c r="E8" s="5"/>
      <c r="F8" s="5"/>
      <c r="G8" s="5"/>
    </row>
    <row r="10" customFormat="false" ht="15" hidden="false" customHeight="false" outlineLevel="0" collapsed="false">
      <c r="B10" s="4" t="s">
        <v>5</v>
      </c>
      <c r="C10" s="4"/>
      <c r="D10" s="4"/>
      <c r="E10" s="4"/>
      <c r="F10" s="4"/>
      <c r="G10" s="4"/>
    </row>
    <row r="11" customFormat="false" ht="42" hidden="false" customHeight="true" outlineLevel="0" collapsed="false">
      <c r="B11" s="5" t="s">
        <v>6</v>
      </c>
      <c r="C11" s="5"/>
      <c r="D11" s="5"/>
      <c r="E11" s="5"/>
      <c r="F11" s="5"/>
      <c r="G11" s="5"/>
    </row>
    <row r="13" customFormat="false" ht="15" hidden="false" customHeight="false" outlineLevel="0" collapsed="false">
      <c r="B13" s="4" t="s">
        <v>7</v>
      </c>
      <c r="C13" s="4"/>
      <c r="D13" s="4"/>
      <c r="E13" s="4"/>
      <c r="F13" s="4"/>
      <c r="G13" s="4"/>
    </row>
    <row r="14" customFormat="false" ht="42" hidden="false" customHeight="true" outlineLevel="0" collapsed="false">
      <c r="B14" s="5" t="s">
        <v>8</v>
      </c>
      <c r="C14" s="5"/>
      <c r="D14" s="5"/>
      <c r="E14" s="5"/>
      <c r="F14" s="5"/>
      <c r="G14" s="5"/>
    </row>
    <row r="16" customFormat="false" ht="15" hidden="false" customHeight="false" outlineLevel="0" collapsed="false">
      <c r="B16" s="4" t="s">
        <v>9</v>
      </c>
      <c r="C16" s="4"/>
      <c r="D16" s="4"/>
      <c r="E16" s="4"/>
      <c r="F16" s="4"/>
      <c r="G16" s="4"/>
    </row>
    <row r="17" customFormat="false" ht="42" hidden="false" customHeight="true" outlineLevel="0" collapsed="false">
      <c r="B17" s="5" t="s">
        <v>10</v>
      </c>
      <c r="C17" s="5"/>
      <c r="D17" s="5"/>
      <c r="E17" s="5"/>
      <c r="F17" s="5"/>
      <c r="G17" s="5"/>
    </row>
    <row r="19" customFormat="false" ht="15" hidden="false" customHeight="true" outlineLevel="0" collapsed="false">
      <c r="B19" s="6" t="s">
        <v>11</v>
      </c>
      <c r="C19" s="6"/>
      <c r="D19" s="6"/>
      <c r="E19" s="6"/>
      <c r="F19" s="6"/>
      <c r="G19" s="6"/>
    </row>
    <row r="21" customFormat="false" ht="19.4" hidden="false" customHeight="true" outlineLevel="0" collapsed="false">
      <c r="B21" s="7" t="s">
        <v>12</v>
      </c>
      <c r="C21" s="7"/>
      <c r="D21" s="7"/>
      <c r="E21" s="7"/>
      <c r="F21" s="7"/>
      <c r="G21" s="7"/>
    </row>
  </sheetData>
  <mergeCells count="13">
    <mergeCell ref="B2:G2"/>
    <mergeCell ref="B3:G3"/>
    <mergeCell ref="B5:G5"/>
    <mergeCell ref="B7:G7"/>
    <mergeCell ref="B8:G8"/>
    <mergeCell ref="B10:G10"/>
    <mergeCell ref="B11:G11"/>
    <mergeCell ref="B13:G13"/>
    <mergeCell ref="B14:G14"/>
    <mergeCell ref="B16:G16"/>
    <mergeCell ref="B17:G17"/>
    <mergeCell ref="B19:G19"/>
    <mergeCell ref="B21:G21"/>
  </mergeCells>
  <hyperlinks>
    <hyperlink ref="B5" r:id="rId1" display="https://itsummary.in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28"/>
    <col collapsed="false" customWidth="true" hidden="false" outlineLevel="0" max="6" min="4" style="0" width="16"/>
    <col collapsed="false" customWidth="true" hidden="false" outlineLevel="0" max="7" min="7" style="0" width="14"/>
    <col collapsed="false" customWidth="true" hidden="false" outlineLevel="0" max="8" min="8" style="0" width="22"/>
    <col collapsed="false" customWidth="true" hidden="false" outlineLevel="0" max="9" min="9" style="0" width="14"/>
    <col collapsed="false" customWidth="true" hidden="false" outlineLevel="0" max="10" min="10" style="0" width="18"/>
    <col collapsed="false" customWidth="true" hidden="false" outlineLevel="0" max="11" min="11" style="0" width="12"/>
  </cols>
  <sheetData>
    <row r="1" customFormat="false" ht="15" hidden="false" customHeight="false" outlineLevel="0" collapsed="false">
      <c r="A1" s="8" t="s">
        <v>13</v>
      </c>
      <c r="B1" s="8" t="s">
        <v>14</v>
      </c>
      <c r="C1" s="8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8" t="s">
        <v>22</v>
      </c>
      <c r="K1" s="8" t="s">
        <v>23</v>
      </c>
    </row>
    <row r="2" customFormat="false" ht="15" hidden="false" customHeight="false" outlineLevel="0" collapsed="false">
      <c r="A2" s="9" t="n">
        <v>1</v>
      </c>
      <c r="B2" s="9" t="s">
        <v>24</v>
      </c>
      <c r="C2" s="9" t="s">
        <v>25</v>
      </c>
      <c r="D2" s="9" t="s">
        <v>26</v>
      </c>
      <c r="E2" s="9" t="s">
        <v>27</v>
      </c>
      <c r="F2" s="9" t="s">
        <v>28</v>
      </c>
      <c r="G2" s="9" t="s">
        <v>29</v>
      </c>
      <c r="H2" s="9" t="s">
        <v>30</v>
      </c>
      <c r="I2" s="9" t="s">
        <v>31</v>
      </c>
      <c r="J2" s="9" t="s">
        <v>32</v>
      </c>
      <c r="K2" s="9" t="s">
        <v>33</v>
      </c>
    </row>
    <row r="3" customFormat="false" ht="15" hidden="false" customHeight="false" outlineLevel="0" collapsed="false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customFormat="false" ht="15" hidden="false" customHeight="false" outlineLevel="0" collapsed="false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customFormat="false" ht="1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customFormat="false" ht="15" hidden="false" customHeight="false" outlineLevel="0" collapsed="false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customFormat="false" ht="15" hidden="false" customHeight="false" outlineLevel="0" collapsed="false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customFormat="false" ht="15" hidden="false" customHeight="false" outlineLevel="0" collapsed="false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customFormat="false" ht="15" hidden="false" customHeight="false" outlineLevel="0" collapsed="false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customFormat="false" ht="15" hidden="false" customHeight="false" outlineLevel="0" collapsed="false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customFormat="false" ht="15" hidden="false" customHeight="false" outlineLevel="0" collapsed="false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customFormat="false" ht="15" hidden="false" customHeight="false" outlineLevel="0" collapsed="false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customFormat="false" ht="15" hidden="false" customHeight="false" outlineLevel="0" collapsed="false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customFormat="false" ht="15" hidden="false" customHeight="false" outlineLevel="0" collapsed="false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customFormat="false" ht="15" hidden="false" customHeight="false" outlineLevel="0" collapsed="false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customFormat="false" ht="15" hidden="false" customHeight="false" outlineLevel="0" collapsed="false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customFormat="false" ht="15" hidden="false" customHeight="false" outlineLevel="0" collapsed="false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customFormat="false" ht="15" hidden="false" customHeight="false" outlineLevel="0" collapsed="false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customFormat="false" ht="15" hidden="false" customHeight="false" outlineLevel="0" collapsed="false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customFormat="false" ht="15" hidden="false" customHeight="false" outlineLevel="0" collapsed="false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customFormat="false" ht="15" hidden="false" customHeight="false" outlineLevel="0" collapsed="false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customFormat="false" ht="15" hidden="false" customHeight="false" outlineLevel="0" collapsed="false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customFormat="false" ht="15" hidden="false" customHeight="false" outlineLevel="0" collapsed="false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customFormat="false" ht="15" hidden="false" customHeight="false" outlineLevel="0" collapsed="false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customFormat="false" ht="15" hidden="false" customHeight="false" outlineLevel="0" collapsed="false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customFormat="false" ht="15" hidden="false" customHeight="false" outlineLevel="0" collapsed="false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customFormat="false" ht="15" hidden="false" customHeight="false" outlineLevel="0" collapsed="false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customFormat="false" ht="15" hidden="false" customHeight="false" outlineLevel="0" collapsed="false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customFormat="false" ht="15" hidden="false" customHeight="false" outlineLevel="0" collapsed="false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customFormat="false" ht="15" hidden="false" customHeight="false" outlineLevel="0" collapsed="false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customFormat="false" ht="15" hidden="false" customHeight="false" outlineLevel="0" collapsed="false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customFormat="false" ht="15" hidden="false" customHeight="false" outlineLevel="0" collapsed="false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customFormat="false" ht="15" hidden="false" customHeight="false" outlineLevel="0" collapsed="false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customFormat="false" ht="15" hidden="false" customHeight="false" outlineLevel="0" collapsed="false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customFormat="false" ht="15" hidden="false" customHeight="false" outlineLevel="0" collapsed="false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customFormat="false" ht="15" hidden="false" customHeight="false" outlineLevel="0" collapsed="false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customFormat="false" ht="15" hidden="false" customHeight="false" outlineLevel="0" collapsed="false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customFormat="false" ht="15" hidden="false" customHeight="false" outlineLevel="0" collapsed="false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customFormat="false" ht="15" hidden="false" customHeight="false" outlineLevel="0" collapsed="false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customFormat="false" ht="15" hidden="false" customHeight="false" outlineLevel="0" collapsed="false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customFormat="false" ht="15" hidden="false" customHeight="false" outlineLevel="0" collapsed="false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customFormat="false" ht="15" hidden="false" customHeight="false" outlineLevel="0" collapsed="false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customFormat="false" ht="15" hidden="false" customHeight="false" outlineLevel="0" collapsed="false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customFormat="false" ht="15" hidden="false" customHeight="false" outlineLevel="0" collapsed="false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customFormat="false" ht="15" hidden="false" customHeight="false" outlineLevel="0" collapsed="false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customFormat="false" ht="15" hidden="false" customHeight="false" outlineLevel="0" collapsed="false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customFormat="false" ht="15" hidden="false" customHeight="false" outlineLevel="0" collapsed="false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customFormat="false" ht="15" hidden="false" customHeight="false" outlineLevel="0" collapsed="false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customFormat="false" ht="15" hidden="false" customHeight="false" outlineLevel="0" collapsed="false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customFormat="false" ht="15" hidden="false" customHeight="false" outlineLevel="0" collapsed="false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customFormat="false" ht="15" hidden="false" customHeight="false" outlineLevel="0" collapsed="false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customFormat="false" ht="15" hidden="false" customHeight="false" outlineLevel="0" collapsed="false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customFormat="false" ht="15" hidden="false" customHeight="false" outlineLevel="0" collapsed="false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customFormat="false" ht="15" hidden="false" customHeight="false" outlineLevel="0" collapsed="false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customFormat="false" ht="15" hidden="false" customHeight="false" outlineLevel="0" collapsed="false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customFormat="false" ht="15" hidden="false" customHeight="false" outlineLevel="0" collapsed="false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customFormat="false" ht="15" hidden="false" customHeight="false" outlineLevel="0" collapsed="false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customFormat="false" ht="15" hidden="false" customHeight="false" outlineLevel="0" collapsed="false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customFormat="false" ht="15" hidden="false" customHeight="false" outlineLevel="0" collapsed="false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customFormat="false" ht="15" hidden="false" customHeight="false" outlineLevel="0" collapsed="false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customFormat="false" ht="15" hidden="false" customHeight="false" outlineLevel="0" collapsed="false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customFormat="false" ht="15" hidden="false" customHeight="false" outlineLevel="0" collapsed="false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customFormat="false" ht="15" hidden="false" customHeight="false" outlineLevel="0" collapsed="false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customFormat="false" ht="15" hidden="false" customHeight="false" outlineLevel="0" collapsed="false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customFormat="false" ht="15" hidden="false" customHeight="false" outlineLevel="0" collapsed="false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customFormat="false" ht="15" hidden="false" customHeight="false" outlineLevel="0" collapsed="false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customFormat="false" ht="15" hidden="false" customHeight="false" outlineLevel="0" collapsed="false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customFormat="false" ht="15" hidden="false" customHeight="false" outlineLevel="0" collapsed="false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customFormat="false" ht="15" hidden="false" customHeight="false" outlineLevel="0" collapsed="false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customFormat="false" ht="15" hidden="false" customHeight="false" outlineLevel="0" collapsed="false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customFormat="false" ht="15" hidden="false" customHeight="false" outlineLevel="0" collapsed="false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customFormat="false" ht="15" hidden="false" customHeight="false" outlineLevel="0" collapsed="false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customFormat="false" ht="15" hidden="false" customHeight="false" outlineLevel="0" collapsed="false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customFormat="false" ht="15" hidden="false" customHeight="false" outlineLevel="0" collapsed="false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customFormat="false" ht="15" hidden="false" customHeight="false" outlineLevel="0" collapsed="false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customFormat="false" ht="15" hidden="false" customHeight="false" outlineLevel="0" collapsed="false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customFormat="false" ht="15" hidden="false" customHeight="false" outlineLevel="0" collapsed="false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customFormat="false" ht="15" hidden="false" customHeight="false" outlineLevel="0" collapsed="false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customFormat="false" ht="15" hidden="false" customHeight="false" outlineLevel="0" collapsed="false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customFormat="false" ht="15" hidden="false" customHeight="false" outlineLevel="0" collapsed="false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customFormat="false" ht="15" hidden="false" customHeight="false" outlineLevel="0" collapsed="false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customFormat="false" ht="15" hidden="false" customHeight="false" outlineLevel="0" collapsed="false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customFormat="false" ht="15" hidden="false" customHeight="false" outlineLevel="0" collapsed="false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customFormat="false" ht="15" hidden="false" customHeight="false" outlineLevel="0" collapsed="false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customFormat="false" ht="15" hidden="false" customHeight="false" outlineLevel="0" collapsed="false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customFormat="false" ht="15" hidden="false" customHeight="false" outlineLevel="0" collapsed="false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customFormat="false" ht="15" hidden="false" customHeight="false" outlineLevel="0" collapsed="false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customFormat="false" ht="15" hidden="false" customHeight="false" outlineLevel="0" collapsed="false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customFormat="false" ht="15" hidden="false" customHeight="false" outlineLevel="0" collapsed="false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customFormat="false" ht="15" hidden="false" customHeight="false" outlineLevel="0" collapsed="false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customFormat="false" ht="15" hidden="false" customHeight="false" outlineLevel="0" collapsed="false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customFormat="false" ht="15" hidden="false" customHeight="false" outlineLevel="0" collapsed="false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customFormat="false" ht="15" hidden="false" customHeight="false" outlineLevel="0" collapsed="false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customFormat="false" ht="15" hidden="false" customHeight="false" outlineLevel="0" collapsed="false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customFormat="false" ht="15" hidden="false" customHeight="false" outlineLevel="0" collapsed="false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customFormat="false" ht="15" hidden="false" customHeight="false" outlineLevel="0" collapsed="false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customFormat="false" ht="15" hidden="false" customHeight="false" outlineLevel="0" collapsed="false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customFormat="false" ht="15" hidden="false" customHeight="false" outlineLevel="0" collapsed="false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customFormat="false" ht="15" hidden="false" customHeight="false" outlineLevel="0" collapsed="false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customFormat="false" ht="15" hidden="false" customHeight="false" outlineLevel="0" collapsed="false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customFormat="false" ht="15" hidden="false" customHeight="false" outlineLevel="0" collapsed="false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customFormat="false" ht="15" hidden="false" customHeight="false" outlineLevel="0" collapsed="false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customFormat="false" ht="15" hidden="false" customHeight="false" outlineLevel="0" collapsed="false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customFormat="false" ht="15" hidden="false" customHeight="false" outlineLevel="0" collapsed="false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customFormat="false" ht="15" hidden="false" customHeight="false" outlineLevel="0" collapsed="false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customFormat="false" ht="15" hidden="false" customHeight="false" outlineLevel="0" collapsed="false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customFormat="false" ht="15" hidden="false" customHeight="false" outlineLevel="0" collapsed="false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customFormat="false" ht="15" hidden="false" customHeight="false" outlineLevel="0" collapsed="false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customFormat="false" ht="15" hidden="false" customHeight="false" outlineLevel="0" collapsed="false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customFormat="false" ht="15" hidden="false" customHeight="false" outlineLevel="0" collapsed="false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customFormat="false" ht="15" hidden="false" customHeight="false" outlineLevel="0" collapsed="false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customFormat="false" ht="15" hidden="false" customHeight="false" outlineLevel="0" collapsed="false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customFormat="false" ht="15" hidden="false" customHeight="false" outlineLevel="0" collapsed="false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customFormat="false" ht="15" hidden="false" customHeight="false" outlineLevel="0" collapsed="false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customFormat="false" ht="15" hidden="false" customHeight="false" outlineLevel="0" collapsed="false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customFormat="false" ht="15" hidden="false" customHeight="false" outlineLevel="0" collapsed="false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customFormat="false" ht="15" hidden="false" customHeight="false" outlineLevel="0" collapsed="false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customFormat="false" ht="15" hidden="false" customHeight="false" outlineLevel="0" collapsed="false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customFormat="false" ht="15" hidden="false" customHeight="false" outlineLevel="0" collapsed="false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customFormat="false" ht="15" hidden="false" customHeight="false" outlineLevel="0" collapsed="false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customFormat="false" ht="15" hidden="false" customHeight="false" outlineLevel="0" collapsed="false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customFormat="false" ht="15" hidden="false" customHeight="false" outlineLevel="0" collapsed="false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customFormat="false" ht="15" hidden="false" customHeight="false" outlineLevel="0" collapsed="false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customFormat="false" ht="15" hidden="false" customHeight="false" outlineLevel="0" collapsed="false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customFormat="false" ht="15" hidden="false" customHeight="false" outlineLevel="0" collapsed="false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customFormat="false" ht="15" hidden="false" customHeight="false" outlineLevel="0" collapsed="false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customFormat="false" ht="15" hidden="false" customHeight="false" outlineLevel="0" collapsed="false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customFormat="false" ht="15" hidden="false" customHeight="false" outlineLevel="0" collapsed="false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customFormat="false" ht="15" hidden="false" customHeight="false" outlineLevel="0" collapsed="false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customFormat="false" ht="15" hidden="false" customHeight="false" outlineLevel="0" collapsed="false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customFormat="false" ht="15" hidden="false" customHeight="false" outlineLevel="0" collapsed="false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customFormat="false" ht="15" hidden="false" customHeight="false" outlineLevel="0" collapsed="false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customFormat="false" ht="15" hidden="false" customHeight="false" outlineLevel="0" collapsed="false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customFormat="false" ht="15" hidden="false" customHeight="false" outlineLevel="0" collapsed="false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customFormat="false" ht="15" hidden="false" customHeight="false" outlineLevel="0" collapsed="false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customFormat="false" ht="15" hidden="false" customHeight="false" outlineLevel="0" collapsed="false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customFormat="false" ht="15" hidden="false" customHeight="false" outlineLevel="0" collapsed="false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customFormat="false" ht="15" hidden="false" customHeight="false" outlineLevel="0" collapsed="false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customFormat="false" ht="15" hidden="false" customHeight="false" outlineLevel="0" collapsed="false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customFormat="false" ht="15" hidden="false" customHeight="false" outlineLevel="0" collapsed="false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customFormat="false" ht="15" hidden="false" customHeight="false" outlineLevel="0" collapsed="false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customFormat="false" ht="15" hidden="false" customHeight="false" outlineLevel="0" collapsed="false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customFormat="false" ht="15" hidden="false" customHeight="false" outlineLevel="0" collapsed="false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customFormat="false" ht="15" hidden="false" customHeight="false" outlineLevel="0" collapsed="false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customFormat="false" ht="15" hidden="false" customHeight="false" outlineLevel="0" collapsed="false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customFormat="false" ht="15" hidden="false" customHeight="false" outlineLevel="0" collapsed="false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customFormat="false" ht="15" hidden="false" customHeight="false" outlineLevel="0" collapsed="false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customFormat="false" ht="15" hidden="false" customHeight="false" outlineLevel="0" collapsed="false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customFormat="false" ht="15" hidden="false" customHeight="false" outlineLevel="0" collapsed="false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customFormat="false" ht="15" hidden="false" customHeight="false" outlineLevel="0" collapsed="false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customFormat="false" ht="15" hidden="false" customHeight="false" outlineLevel="0" collapsed="false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customFormat="false" ht="15" hidden="false" customHeight="false" outlineLevel="0" collapsed="false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customFormat="false" ht="15" hidden="false" customHeight="false" outlineLevel="0" collapsed="false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customFormat="false" ht="15" hidden="false" customHeight="false" outlineLevel="0" collapsed="false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customFormat="false" ht="15" hidden="false" customHeight="false" outlineLevel="0" collapsed="false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customFormat="false" ht="15" hidden="false" customHeight="false" outlineLevel="0" collapsed="false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customFormat="false" ht="15" hidden="false" customHeight="false" outlineLevel="0" collapsed="false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customFormat="false" ht="15" hidden="false" customHeight="false" outlineLevel="0" collapsed="false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customFormat="false" ht="15" hidden="false" customHeight="false" outlineLevel="0" collapsed="false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customFormat="false" ht="15" hidden="false" customHeight="false" outlineLevel="0" collapsed="false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customFormat="false" ht="15" hidden="false" customHeight="false" outlineLevel="0" collapsed="false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customFormat="false" ht="15" hidden="false" customHeight="false" outlineLevel="0" collapsed="false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customFormat="false" ht="15" hidden="false" customHeight="false" outlineLevel="0" collapsed="false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customFormat="false" ht="15" hidden="false" customHeight="false" outlineLevel="0" collapsed="false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customFormat="false" ht="15" hidden="false" customHeight="false" outlineLevel="0" collapsed="false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customFormat="false" ht="15" hidden="false" customHeight="false" outlineLevel="0" collapsed="false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customFormat="false" ht="15" hidden="false" customHeight="false" outlineLevel="0" collapsed="false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customFormat="false" ht="15" hidden="false" customHeight="false" outlineLevel="0" collapsed="false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customFormat="false" ht="15" hidden="false" customHeight="false" outlineLevel="0" collapsed="false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customFormat="false" ht="15" hidden="false" customHeight="false" outlineLevel="0" collapsed="false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customFormat="false" ht="15" hidden="false" customHeight="false" outlineLevel="0" collapsed="false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customFormat="false" ht="15" hidden="false" customHeight="false" outlineLevel="0" collapsed="false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customFormat="false" ht="15" hidden="false" customHeight="false" outlineLevel="0" collapsed="false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customFormat="false" ht="15" hidden="false" customHeight="false" outlineLevel="0" collapsed="false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customFormat="false" ht="15" hidden="false" customHeight="false" outlineLevel="0" collapsed="false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customFormat="false" ht="15" hidden="false" customHeight="false" outlineLevel="0" collapsed="false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customFormat="false" ht="15" hidden="false" customHeight="false" outlineLevel="0" collapsed="false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</row>
    <row r="193" customFormat="false" ht="15" hidden="false" customHeight="false" outlineLevel="0" collapsed="false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</row>
    <row r="194" customFormat="false" ht="15" hidden="false" customHeight="false" outlineLevel="0" collapsed="false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</row>
    <row r="195" customFormat="false" ht="15" hidden="false" customHeight="false" outlineLevel="0" collapsed="false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customFormat="false" ht="15" hidden="false" customHeight="false" outlineLevel="0" collapsed="false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</row>
    <row r="197" customFormat="false" ht="15" hidden="false" customHeight="false" outlineLevel="0" collapsed="false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</row>
    <row r="198" customFormat="false" ht="15" hidden="false" customHeight="false" outlineLevel="0" collapsed="false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</row>
    <row r="199" customFormat="false" ht="15" hidden="false" customHeight="false" outlineLevel="0" collapsed="false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customFormat="false" ht="15" hidden="false" customHeight="false" outlineLevel="0" collapsed="false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customFormat="false" ht="15" hidden="false" customHeight="false" outlineLevel="0" collapsed="false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</row>
    <row r="202" customFormat="false" ht="15" hidden="false" customHeight="false" outlineLevel="0" collapsed="false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customFormat="false" ht="15" hidden="false" customHeight="false" outlineLevel="0" collapsed="false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</row>
    <row r="204" customFormat="false" ht="15" hidden="false" customHeight="false" outlineLevel="0" collapsed="false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</row>
    <row r="205" customFormat="false" ht="15" hidden="false" customHeight="false" outlineLevel="0" collapsed="false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</row>
    <row r="206" customFormat="false" ht="15" hidden="false" customHeight="false" outlineLevel="0" collapsed="false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</row>
    <row r="207" customFormat="false" ht="15" hidden="false" customHeight="false" outlineLevel="0" collapsed="false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</row>
    <row r="208" customFormat="false" ht="15" hidden="false" customHeight="false" outlineLevel="0" collapsed="false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</row>
    <row r="209" customFormat="false" ht="15" hidden="false" customHeight="false" outlineLevel="0" collapsed="false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</row>
    <row r="210" customFormat="false" ht="15" hidden="false" customHeight="false" outlineLevel="0" collapsed="false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</row>
    <row r="211" customFormat="false" ht="15" hidden="false" customHeight="false" outlineLevel="0" collapsed="false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customFormat="false" ht="15" hidden="false" customHeight="false" outlineLevel="0" collapsed="false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customFormat="false" ht="15" hidden="false" customHeight="false" outlineLevel="0" collapsed="false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</row>
    <row r="214" customFormat="false" ht="15" hidden="false" customHeight="false" outlineLevel="0" collapsed="false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</row>
    <row r="215" customFormat="false" ht="15" hidden="false" customHeight="false" outlineLevel="0" collapsed="false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</row>
    <row r="216" customFormat="false" ht="15" hidden="false" customHeight="false" outlineLevel="0" collapsed="false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</row>
    <row r="217" customFormat="false" ht="15" hidden="false" customHeight="false" outlineLevel="0" collapsed="false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</row>
    <row r="218" customFormat="false" ht="15" hidden="false" customHeight="false" outlineLevel="0" collapsed="false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customFormat="false" ht="15" hidden="false" customHeight="false" outlineLevel="0" collapsed="false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</row>
    <row r="220" customFormat="false" ht="15" hidden="false" customHeight="false" outlineLevel="0" collapsed="false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</row>
    <row r="221" customFormat="false" ht="15" hidden="false" customHeight="false" outlineLevel="0" collapsed="false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</row>
    <row r="222" customFormat="false" ht="15" hidden="false" customHeight="false" outlineLevel="0" collapsed="false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</row>
    <row r="223" customFormat="false" ht="15" hidden="false" customHeight="false" outlineLevel="0" collapsed="false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</row>
    <row r="224" customFormat="false" ht="15" hidden="false" customHeight="false" outlineLevel="0" collapsed="false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</row>
    <row r="225" customFormat="false" ht="15" hidden="false" customHeight="false" outlineLevel="0" collapsed="false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</row>
    <row r="226" customFormat="false" ht="15" hidden="false" customHeight="false" outlineLevel="0" collapsed="false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</row>
    <row r="227" customFormat="false" ht="15" hidden="false" customHeight="false" outlineLevel="0" collapsed="false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</row>
    <row r="228" customFormat="false" ht="15" hidden="false" customHeight="false" outlineLevel="0" collapsed="false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</row>
    <row r="229" customFormat="false" ht="15" hidden="false" customHeight="false" outlineLevel="0" collapsed="false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</row>
    <row r="230" customFormat="false" ht="15" hidden="false" customHeight="false" outlineLevel="0" collapsed="false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</row>
    <row r="231" customFormat="false" ht="15" hidden="false" customHeight="false" outlineLevel="0" collapsed="false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</row>
    <row r="232" customFormat="false" ht="15" hidden="false" customHeight="false" outlineLevel="0" collapsed="false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</row>
    <row r="233" customFormat="false" ht="15" hidden="false" customHeight="false" outlineLevel="0" collapsed="false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</row>
    <row r="234" customFormat="false" ht="15" hidden="false" customHeight="false" outlineLevel="0" collapsed="false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</row>
    <row r="235" customFormat="false" ht="15" hidden="false" customHeight="false" outlineLevel="0" collapsed="false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</row>
    <row r="236" customFormat="false" ht="15" hidden="false" customHeight="false" outlineLevel="0" collapsed="false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</row>
    <row r="237" customFormat="false" ht="15" hidden="false" customHeight="false" outlineLevel="0" collapsed="false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</row>
    <row r="238" customFormat="false" ht="15" hidden="false" customHeight="false" outlineLevel="0" collapsed="false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</row>
    <row r="239" customFormat="false" ht="15" hidden="false" customHeight="false" outlineLevel="0" collapsed="false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</row>
    <row r="240" customFormat="false" ht="15" hidden="false" customHeight="false" outlineLevel="0" collapsed="false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</row>
    <row r="241" customFormat="false" ht="15" hidden="false" customHeight="false" outlineLevel="0" collapsed="false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</row>
    <row r="242" customFormat="false" ht="15" hidden="false" customHeight="false" outlineLevel="0" collapsed="false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</row>
    <row r="243" customFormat="false" ht="15" hidden="false" customHeight="false" outlineLevel="0" collapsed="false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</row>
    <row r="244" customFormat="false" ht="15" hidden="false" customHeight="false" outlineLevel="0" collapsed="false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</row>
    <row r="245" customFormat="false" ht="15" hidden="false" customHeight="false" outlineLevel="0" collapsed="false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</row>
    <row r="246" customFormat="false" ht="15" hidden="false" customHeight="false" outlineLevel="0" collapsed="false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</row>
    <row r="247" customFormat="false" ht="15" hidden="false" customHeight="false" outlineLevel="0" collapsed="false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</row>
    <row r="248" customFormat="false" ht="15" hidden="false" customHeight="false" outlineLevel="0" collapsed="false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</row>
    <row r="249" customFormat="false" ht="15" hidden="false" customHeight="false" outlineLevel="0" collapsed="false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</row>
    <row r="250" customFormat="false" ht="15" hidden="false" customHeight="false" outlineLevel="0" collapsed="false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</row>
    <row r="251" customFormat="false" ht="15" hidden="false" customHeight="false" outlineLevel="0" collapsed="false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</row>
    <row r="252" customFormat="false" ht="15" hidden="false" customHeight="false" outlineLevel="0" collapsed="false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</row>
    <row r="253" customFormat="false" ht="15" hidden="false" customHeight="false" outlineLevel="0" collapsed="false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</row>
    <row r="254" customFormat="false" ht="15" hidden="false" customHeight="false" outlineLevel="0" collapsed="false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</row>
    <row r="255" customFormat="false" ht="15" hidden="false" customHeight="false" outlineLevel="0" collapsed="false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</row>
    <row r="256" customFormat="false" ht="15" hidden="false" customHeight="false" outlineLevel="0" collapsed="false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</row>
    <row r="257" customFormat="false" ht="15" hidden="false" customHeight="false" outlineLevel="0" collapsed="false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</row>
    <row r="258" customFormat="false" ht="15" hidden="false" customHeight="false" outlineLevel="0" collapsed="false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</row>
    <row r="259" customFormat="false" ht="15" hidden="false" customHeight="false" outlineLevel="0" collapsed="false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</row>
    <row r="260" customFormat="false" ht="15" hidden="false" customHeight="false" outlineLevel="0" collapsed="false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</row>
    <row r="261" customFormat="false" ht="15" hidden="false" customHeight="false" outlineLevel="0" collapsed="false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</row>
    <row r="262" customFormat="false" ht="15" hidden="false" customHeight="false" outlineLevel="0" collapsed="false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customFormat="false" ht="15" hidden="false" customHeight="false" outlineLevel="0" collapsed="false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</row>
    <row r="264" customFormat="false" ht="15" hidden="false" customHeight="false" outlineLevel="0" collapsed="false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</row>
    <row r="265" customFormat="false" ht="15" hidden="false" customHeight="false" outlineLevel="0" collapsed="false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</row>
    <row r="266" customFormat="false" ht="15" hidden="false" customHeight="false" outlineLevel="0" collapsed="false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</row>
    <row r="267" customFormat="false" ht="15" hidden="false" customHeight="false" outlineLevel="0" collapsed="false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</row>
    <row r="268" customFormat="false" ht="15" hidden="false" customHeight="false" outlineLevel="0" collapsed="false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</row>
    <row r="269" customFormat="false" ht="15" hidden="false" customHeight="false" outlineLevel="0" collapsed="false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</row>
    <row r="270" customFormat="false" ht="15" hidden="false" customHeight="false" outlineLevel="0" collapsed="false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</row>
    <row r="271" customFormat="false" ht="15" hidden="false" customHeight="false" outlineLevel="0" collapsed="false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</row>
    <row r="272" customFormat="false" ht="15" hidden="false" customHeight="false" outlineLevel="0" collapsed="false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</row>
    <row r="273" customFormat="false" ht="15" hidden="false" customHeight="false" outlineLevel="0" collapsed="false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</row>
    <row r="274" customFormat="false" ht="15" hidden="false" customHeight="false" outlineLevel="0" collapsed="false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</row>
    <row r="275" customFormat="false" ht="15" hidden="false" customHeight="false" outlineLevel="0" collapsed="false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</row>
    <row r="276" customFormat="false" ht="15" hidden="false" customHeight="false" outlineLevel="0" collapsed="false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</row>
    <row r="277" customFormat="false" ht="15" hidden="false" customHeight="false" outlineLevel="0" collapsed="false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</row>
    <row r="278" customFormat="false" ht="15" hidden="false" customHeight="false" outlineLevel="0" collapsed="false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</row>
    <row r="279" customFormat="false" ht="15" hidden="false" customHeight="false" outlineLevel="0" collapsed="false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</row>
    <row r="280" customFormat="false" ht="15" hidden="false" customHeight="false" outlineLevel="0" collapsed="false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</row>
    <row r="281" customFormat="false" ht="15" hidden="false" customHeight="false" outlineLevel="0" collapsed="false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</row>
    <row r="282" customFormat="false" ht="15" hidden="false" customHeight="false" outlineLevel="0" collapsed="false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</row>
    <row r="283" customFormat="false" ht="15" hidden="false" customHeight="false" outlineLevel="0" collapsed="false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customFormat="false" ht="15" hidden="false" customHeight="false" outlineLevel="0" collapsed="false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customFormat="false" ht="15" hidden="false" customHeight="false" outlineLevel="0" collapsed="false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</row>
    <row r="286" customFormat="false" ht="15" hidden="false" customHeight="false" outlineLevel="0" collapsed="false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</row>
    <row r="287" customFormat="false" ht="15" hidden="false" customHeight="false" outlineLevel="0" collapsed="false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</row>
    <row r="288" customFormat="false" ht="15" hidden="false" customHeight="false" outlineLevel="0" collapsed="false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</row>
    <row r="289" customFormat="false" ht="15" hidden="false" customHeight="false" outlineLevel="0" collapsed="false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</row>
    <row r="290" customFormat="false" ht="15" hidden="false" customHeight="false" outlineLevel="0" collapsed="false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</row>
    <row r="291" customFormat="false" ht="15" hidden="false" customHeight="false" outlineLevel="0" collapsed="false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</row>
    <row r="292" customFormat="false" ht="15" hidden="false" customHeight="false" outlineLevel="0" collapsed="false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</row>
    <row r="293" customFormat="false" ht="15" hidden="false" customHeight="false" outlineLevel="0" collapsed="false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</row>
    <row r="294" customFormat="false" ht="15" hidden="false" customHeight="false" outlineLevel="0" collapsed="false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</row>
    <row r="295" customFormat="false" ht="15" hidden="false" customHeight="false" outlineLevel="0" collapsed="false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customFormat="false" ht="15" hidden="false" customHeight="false" outlineLevel="0" collapsed="false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customFormat="false" ht="15" hidden="false" customHeight="false" outlineLevel="0" collapsed="false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</row>
    <row r="298" customFormat="false" ht="15" hidden="false" customHeight="false" outlineLevel="0" collapsed="false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</row>
    <row r="299" customFormat="false" ht="15" hidden="false" customHeight="false" outlineLevel="0" collapsed="false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</row>
    <row r="300" customFormat="false" ht="15" hidden="false" customHeight="false" outlineLevel="0" collapsed="false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</row>
    <row r="301" customFormat="false" ht="15" hidden="false" customHeight="false" outlineLevel="0" collapsed="false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</row>
    <row r="302" customFormat="false" ht="15" hidden="false" customHeight="false" outlineLevel="0" collapsed="false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</row>
    <row r="303" customFormat="false" ht="15" hidden="false" customHeight="false" outlineLevel="0" collapsed="false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</row>
    <row r="304" customFormat="false" ht="15" hidden="false" customHeight="false" outlineLevel="0" collapsed="false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</row>
    <row r="305" customFormat="false" ht="15" hidden="false" customHeight="false" outlineLevel="0" collapsed="false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</row>
    <row r="306" customFormat="false" ht="15" hidden="false" customHeight="false" outlineLevel="0" collapsed="false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</row>
    <row r="307" customFormat="false" ht="15" hidden="false" customHeight="false" outlineLevel="0" collapsed="false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</row>
    <row r="308" customFormat="false" ht="15" hidden="false" customHeight="false" outlineLevel="0" collapsed="false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</row>
    <row r="309" customFormat="false" ht="15" hidden="false" customHeight="false" outlineLevel="0" collapsed="false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</row>
    <row r="310" customFormat="false" ht="15" hidden="false" customHeight="false" outlineLevel="0" collapsed="false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</row>
    <row r="311" customFormat="false" ht="15" hidden="false" customHeight="false" outlineLevel="0" collapsed="false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</row>
    <row r="312" customFormat="false" ht="15" hidden="false" customHeight="false" outlineLevel="0" collapsed="false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</row>
    <row r="313" customFormat="false" ht="15" hidden="false" customHeight="false" outlineLevel="0" collapsed="false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</row>
    <row r="314" customFormat="false" ht="15" hidden="false" customHeight="false" outlineLevel="0" collapsed="false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</row>
    <row r="315" customFormat="false" ht="15" hidden="false" customHeight="false" outlineLevel="0" collapsed="false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</row>
    <row r="316" customFormat="false" ht="15" hidden="false" customHeight="false" outlineLevel="0" collapsed="false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</row>
    <row r="317" customFormat="false" ht="15" hidden="false" customHeight="false" outlineLevel="0" collapsed="false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</row>
    <row r="318" customFormat="false" ht="15" hidden="false" customHeight="false" outlineLevel="0" collapsed="false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</row>
    <row r="319" customFormat="false" ht="15" hidden="false" customHeight="false" outlineLevel="0" collapsed="false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</row>
    <row r="320" customFormat="false" ht="15" hidden="false" customHeight="false" outlineLevel="0" collapsed="false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</row>
    <row r="321" customFormat="false" ht="15" hidden="false" customHeight="false" outlineLevel="0" collapsed="false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</row>
    <row r="322" customFormat="false" ht="15" hidden="false" customHeight="false" outlineLevel="0" collapsed="false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</row>
    <row r="323" customFormat="false" ht="15" hidden="false" customHeight="false" outlineLevel="0" collapsed="false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</row>
    <row r="324" customFormat="false" ht="15" hidden="false" customHeight="false" outlineLevel="0" collapsed="false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</row>
    <row r="325" customFormat="false" ht="15" hidden="false" customHeight="false" outlineLevel="0" collapsed="false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</row>
    <row r="326" customFormat="false" ht="15" hidden="false" customHeight="false" outlineLevel="0" collapsed="false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</row>
    <row r="327" customFormat="false" ht="15" hidden="false" customHeight="false" outlineLevel="0" collapsed="false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</row>
    <row r="328" customFormat="false" ht="15" hidden="false" customHeight="false" outlineLevel="0" collapsed="false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</row>
    <row r="329" customFormat="false" ht="15" hidden="false" customHeight="false" outlineLevel="0" collapsed="false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</row>
    <row r="330" customFormat="false" ht="15" hidden="false" customHeight="false" outlineLevel="0" collapsed="false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</row>
    <row r="331" customFormat="false" ht="15" hidden="false" customHeight="false" outlineLevel="0" collapsed="false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</row>
    <row r="332" customFormat="false" ht="15" hidden="false" customHeight="false" outlineLevel="0" collapsed="false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</row>
    <row r="333" customFormat="false" ht="15" hidden="false" customHeight="false" outlineLevel="0" collapsed="false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</row>
    <row r="334" customFormat="false" ht="15" hidden="false" customHeight="false" outlineLevel="0" collapsed="false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</row>
    <row r="335" customFormat="false" ht="15" hidden="false" customHeight="false" outlineLevel="0" collapsed="false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</row>
    <row r="336" customFormat="false" ht="15" hidden="false" customHeight="false" outlineLevel="0" collapsed="false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</row>
    <row r="337" customFormat="false" ht="15" hidden="false" customHeight="false" outlineLevel="0" collapsed="false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</row>
    <row r="338" customFormat="false" ht="15" hidden="false" customHeight="false" outlineLevel="0" collapsed="false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</row>
    <row r="339" customFormat="false" ht="15" hidden="false" customHeight="false" outlineLevel="0" collapsed="false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</row>
    <row r="340" customFormat="false" ht="15" hidden="false" customHeight="false" outlineLevel="0" collapsed="false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</row>
    <row r="341" customFormat="false" ht="15" hidden="false" customHeight="false" outlineLevel="0" collapsed="false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</row>
    <row r="342" customFormat="false" ht="15" hidden="false" customHeight="false" outlineLevel="0" collapsed="false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</row>
    <row r="343" customFormat="false" ht="15" hidden="false" customHeight="false" outlineLevel="0" collapsed="false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</row>
    <row r="344" customFormat="false" ht="15" hidden="false" customHeight="false" outlineLevel="0" collapsed="false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</row>
    <row r="345" customFormat="false" ht="15" hidden="false" customHeight="false" outlineLevel="0" collapsed="false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</row>
    <row r="346" customFormat="false" ht="15" hidden="false" customHeight="false" outlineLevel="0" collapsed="false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</row>
    <row r="347" customFormat="false" ht="15" hidden="false" customHeight="false" outlineLevel="0" collapsed="false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</row>
    <row r="348" customFormat="false" ht="15" hidden="false" customHeight="false" outlineLevel="0" collapsed="false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</row>
    <row r="349" customFormat="false" ht="15" hidden="false" customHeight="false" outlineLevel="0" collapsed="false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</row>
    <row r="350" customFormat="false" ht="15" hidden="false" customHeight="false" outlineLevel="0" collapsed="false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</row>
    <row r="351" customFormat="false" ht="15" hidden="false" customHeight="false" outlineLevel="0" collapsed="false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</row>
    <row r="352" customFormat="false" ht="15" hidden="false" customHeight="false" outlineLevel="0" collapsed="false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</row>
    <row r="353" customFormat="false" ht="15" hidden="false" customHeight="false" outlineLevel="0" collapsed="false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</row>
    <row r="354" customFormat="false" ht="15" hidden="false" customHeight="false" outlineLevel="0" collapsed="false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</row>
    <row r="355" customFormat="false" ht="15" hidden="false" customHeight="false" outlineLevel="0" collapsed="false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</row>
    <row r="356" customFormat="false" ht="15" hidden="false" customHeight="false" outlineLevel="0" collapsed="false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</row>
    <row r="357" customFormat="false" ht="15" hidden="false" customHeight="false" outlineLevel="0" collapsed="false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</row>
    <row r="358" customFormat="false" ht="15" hidden="false" customHeight="false" outlineLevel="0" collapsed="false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</row>
    <row r="359" customFormat="false" ht="15" hidden="false" customHeight="false" outlineLevel="0" collapsed="false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</row>
    <row r="360" customFormat="false" ht="15" hidden="false" customHeight="false" outlineLevel="0" collapsed="false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</row>
    <row r="361" customFormat="false" ht="15" hidden="false" customHeight="false" outlineLevel="0" collapsed="false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</row>
    <row r="362" customFormat="false" ht="15" hidden="false" customHeight="false" outlineLevel="0" collapsed="false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</row>
    <row r="363" customFormat="false" ht="15" hidden="false" customHeight="false" outlineLevel="0" collapsed="false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</row>
    <row r="364" customFormat="false" ht="15" hidden="false" customHeight="false" outlineLevel="0" collapsed="false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</row>
    <row r="365" customFormat="false" ht="15" hidden="false" customHeight="false" outlineLevel="0" collapsed="false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</row>
    <row r="366" customFormat="false" ht="15" hidden="false" customHeight="false" outlineLevel="0" collapsed="false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</row>
    <row r="367" customFormat="false" ht="15" hidden="false" customHeight="false" outlineLevel="0" collapsed="false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</row>
    <row r="368" customFormat="false" ht="15" hidden="false" customHeight="false" outlineLevel="0" collapsed="false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</row>
    <row r="369" customFormat="false" ht="15" hidden="false" customHeight="false" outlineLevel="0" collapsed="false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</row>
    <row r="370" customFormat="false" ht="15" hidden="false" customHeight="false" outlineLevel="0" collapsed="false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</row>
    <row r="371" customFormat="false" ht="15" hidden="false" customHeight="false" outlineLevel="0" collapsed="false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</row>
    <row r="372" customFormat="false" ht="15" hidden="false" customHeight="false" outlineLevel="0" collapsed="false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</row>
    <row r="373" customFormat="false" ht="15" hidden="false" customHeight="false" outlineLevel="0" collapsed="false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</row>
    <row r="374" customFormat="false" ht="15" hidden="false" customHeight="false" outlineLevel="0" collapsed="false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</row>
    <row r="375" customFormat="false" ht="15" hidden="false" customHeight="false" outlineLevel="0" collapsed="false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</row>
    <row r="376" customFormat="false" ht="15" hidden="false" customHeight="false" outlineLevel="0" collapsed="false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</row>
    <row r="377" customFormat="false" ht="15" hidden="false" customHeight="false" outlineLevel="0" collapsed="false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</row>
    <row r="378" customFormat="false" ht="15" hidden="false" customHeight="false" outlineLevel="0" collapsed="false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</row>
    <row r="379" customFormat="false" ht="15" hidden="false" customHeight="false" outlineLevel="0" collapsed="false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</row>
    <row r="380" customFormat="false" ht="15" hidden="false" customHeight="false" outlineLevel="0" collapsed="false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</row>
    <row r="381" customFormat="false" ht="15" hidden="false" customHeight="false" outlineLevel="0" collapsed="false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</row>
    <row r="382" customFormat="false" ht="15" hidden="false" customHeight="false" outlineLevel="0" collapsed="false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</row>
    <row r="383" customFormat="false" ht="15" hidden="false" customHeight="false" outlineLevel="0" collapsed="false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</row>
    <row r="384" customFormat="false" ht="15" hidden="false" customHeight="false" outlineLevel="0" collapsed="false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</row>
    <row r="385" customFormat="false" ht="15" hidden="false" customHeight="false" outlineLevel="0" collapsed="false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</row>
    <row r="386" customFormat="false" ht="15" hidden="false" customHeight="false" outlineLevel="0" collapsed="false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</row>
    <row r="387" customFormat="false" ht="15" hidden="false" customHeight="false" outlineLevel="0" collapsed="false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</row>
    <row r="388" customFormat="false" ht="15" hidden="false" customHeight="false" outlineLevel="0" collapsed="false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</row>
    <row r="389" customFormat="false" ht="15" hidden="false" customHeight="false" outlineLevel="0" collapsed="false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</row>
    <row r="390" customFormat="false" ht="15" hidden="false" customHeight="false" outlineLevel="0" collapsed="false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</row>
    <row r="391" customFormat="false" ht="15" hidden="false" customHeight="false" outlineLevel="0" collapsed="false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</row>
    <row r="392" customFormat="false" ht="15" hidden="false" customHeight="false" outlineLevel="0" collapsed="false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</row>
    <row r="393" customFormat="false" ht="15" hidden="false" customHeight="false" outlineLevel="0" collapsed="false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</row>
    <row r="394" customFormat="false" ht="15" hidden="false" customHeight="false" outlineLevel="0" collapsed="false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</row>
    <row r="395" customFormat="false" ht="15" hidden="false" customHeight="false" outlineLevel="0" collapsed="false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</row>
    <row r="396" customFormat="false" ht="15" hidden="false" customHeight="false" outlineLevel="0" collapsed="false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</row>
    <row r="397" customFormat="false" ht="15" hidden="false" customHeight="false" outlineLevel="0" collapsed="false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</row>
    <row r="398" customFormat="false" ht="15" hidden="false" customHeight="false" outlineLevel="0" collapsed="false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</row>
    <row r="399" customFormat="false" ht="15" hidden="false" customHeight="false" outlineLevel="0" collapsed="false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</row>
    <row r="400" customFormat="false" ht="15" hidden="false" customHeight="false" outlineLevel="0" collapsed="false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</row>
    <row r="401" customFormat="false" ht="15" hidden="false" customHeight="false" outlineLevel="0" collapsed="false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</row>
    <row r="402" customFormat="false" ht="15" hidden="false" customHeight="false" outlineLevel="0" collapsed="false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</row>
    <row r="403" customFormat="false" ht="15" hidden="false" customHeight="false" outlineLevel="0" collapsed="false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</row>
    <row r="404" customFormat="false" ht="15" hidden="false" customHeight="false" outlineLevel="0" collapsed="false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</row>
    <row r="405" customFormat="false" ht="15" hidden="false" customHeight="false" outlineLevel="0" collapsed="false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</row>
    <row r="406" customFormat="false" ht="15" hidden="false" customHeight="false" outlineLevel="0" collapsed="false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</row>
    <row r="407" customFormat="false" ht="15" hidden="false" customHeight="false" outlineLevel="0" collapsed="false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</row>
    <row r="408" customFormat="false" ht="15" hidden="false" customHeight="false" outlineLevel="0" collapsed="false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</row>
    <row r="409" customFormat="false" ht="15" hidden="false" customHeight="false" outlineLevel="0" collapsed="false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</row>
    <row r="410" customFormat="false" ht="15" hidden="false" customHeight="false" outlineLevel="0" collapsed="false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</row>
    <row r="411" customFormat="false" ht="15" hidden="false" customHeight="false" outlineLevel="0" collapsed="false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</row>
    <row r="412" customFormat="false" ht="15" hidden="false" customHeight="false" outlineLevel="0" collapsed="false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</row>
    <row r="413" customFormat="false" ht="15" hidden="false" customHeight="false" outlineLevel="0" collapsed="false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</row>
    <row r="414" customFormat="false" ht="15" hidden="false" customHeight="false" outlineLevel="0" collapsed="false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</row>
    <row r="415" customFormat="false" ht="15" hidden="false" customHeight="false" outlineLevel="0" collapsed="false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</row>
    <row r="416" customFormat="false" ht="15" hidden="false" customHeight="false" outlineLevel="0" collapsed="false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</row>
    <row r="417" customFormat="false" ht="15" hidden="false" customHeight="false" outlineLevel="0" collapsed="false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</row>
    <row r="418" customFormat="false" ht="15" hidden="false" customHeight="false" outlineLevel="0" collapsed="false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</row>
    <row r="419" customFormat="false" ht="15" hidden="false" customHeight="false" outlineLevel="0" collapsed="false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</row>
    <row r="420" customFormat="false" ht="15" hidden="false" customHeight="false" outlineLevel="0" collapsed="false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</row>
    <row r="421" customFormat="false" ht="15" hidden="false" customHeight="false" outlineLevel="0" collapsed="false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</row>
    <row r="422" customFormat="false" ht="15" hidden="false" customHeight="false" outlineLevel="0" collapsed="false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</row>
    <row r="423" customFormat="false" ht="15" hidden="false" customHeight="false" outlineLevel="0" collapsed="false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</row>
    <row r="424" customFormat="false" ht="15" hidden="false" customHeight="false" outlineLevel="0" collapsed="false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</row>
    <row r="425" customFormat="false" ht="15" hidden="false" customHeight="false" outlineLevel="0" collapsed="false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</row>
    <row r="426" customFormat="false" ht="15" hidden="false" customHeight="false" outlineLevel="0" collapsed="false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</row>
    <row r="427" customFormat="false" ht="15" hidden="false" customHeight="false" outlineLevel="0" collapsed="false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</row>
    <row r="428" customFormat="false" ht="15" hidden="false" customHeight="false" outlineLevel="0" collapsed="false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</row>
    <row r="429" customFormat="false" ht="15" hidden="false" customHeight="false" outlineLevel="0" collapsed="false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</row>
    <row r="430" customFormat="false" ht="15" hidden="false" customHeight="false" outlineLevel="0" collapsed="false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</row>
    <row r="431" customFormat="false" ht="15" hidden="false" customHeight="false" outlineLevel="0" collapsed="false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</row>
    <row r="432" customFormat="false" ht="15" hidden="false" customHeight="false" outlineLevel="0" collapsed="false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</row>
    <row r="433" customFormat="false" ht="15" hidden="false" customHeight="false" outlineLevel="0" collapsed="false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</row>
    <row r="434" customFormat="false" ht="15" hidden="false" customHeight="false" outlineLevel="0" collapsed="false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</row>
    <row r="435" customFormat="false" ht="15" hidden="false" customHeight="false" outlineLevel="0" collapsed="false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</row>
    <row r="436" customFormat="false" ht="15" hidden="false" customHeight="false" outlineLevel="0" collapsed="false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</row>
    <row r="437" customFormat="false" ht="15" hidden="false" customHeight="false" outlineLevel="0" collapsed="false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</row>
    <row r="438" customFormat="false" ht="15" hidden="false" customHeight="false" outlineLevel="0" collapsed="false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</row>
    <row r="439" customFormat="false" ht="15" hidden="false" customHeight="false" outlineLevel="0" collapsed="false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</row>
    <row r="440" customFormat="false" ht="15" hidden="false" customHeight="false" outlineLevel="0" collapsed="false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</row>
    <row r="441" customFormat="false" ht="15" hidden="false" customHeight="false" outlineLevel="0" collapsed="false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</row>
    <row r="442" customFormat="false" ht="15" hidden="false" customHeight="false" outlineLevel="0" collapsed="false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</row>
    <row r="443" customFormat="false" ht="15" hidden="false" customHeight="false" outlineLevel="0" collapsed="false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</row>
    <row r="444" customFormat="false" ht="15" hidden="false" customHeight="false" outlineLevel="0" collapsed="false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</row>
    <row r="445" customFormat="false" ht="15" hidden="false" customHeight="false" outlineLevel="0" collapsed="false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</row>
    <row r="446" customFormat="false" ht="15" hidden="false" customHeight="false" outlineLevel="0" collapsed="false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</row>
    <row r="447" customFormat="false" ht="15" hidden="false" customHeight="false" outlineLevel="0" collapsed="false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</row>
    <row r="448" customFormat="false" ht="15" hidden="false" customHeight="false" outlineLevel="0" collapsed="false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</row>
    <row r="449" customFormat="false" ht="15" hidden="false" customHeight="false" outlineLevel="0" collapsed="false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</row>
    <row r="450" customFormat="false" ht="15" hidden="false" customHeight="false" outlineLevel="0" collapsed="false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</row>
    <row r="451" customFormat="false" ht="15" hidden="false" customHeight="false" outlineLevel="0" collapsed="false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</row>
    <row r="452" customFormat="false" ht="15" hidden="false" customHeight="false" outlineLevel="0" collapsed="false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</row>
    <row r="453" customFormat="false" ht="15" hidden="false" customHeight="false" outlineLevel="0" collapsed="false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</row>
    <row r="454" customFormat="false" ht="15" hidden="false" customHeight="false" outlineLevel="0" collapsed="false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</row>
    <row r="455" customFormat="false" ht="15" hidden="false" customHeight="false" outlineLevel="0" collapsed="false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</row>
    <row r="456" customFormat="false" ht="15" hidden="false" customHeight="false" outlineLevel="0" collapsed="false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</row>
    <row r="457" customFormat="false" ht="15" hidden="false" customHeight="false" outlineLevel="0" collapsed="false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</row>
    <row r="458" customFormat="false" ht="15" hidden="false" customHeight="false" outlineLevel="0" collapsed="false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</row>
    <row r="459" customFormat="false" ht="15" hidden="false" customHeight="false" outlineLevel="0" collapsed="false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</row>
    <row r="460" customFormat="false" ht="15" hidden="false" customHeight="false" outlineLevel="0" collapsed="false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</row>
    <row r="461" customFormat="false" ht="15" hidden="false" customHeight="false" outlineLevel="0" collapsed="false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</row>
    <row r="462" customFormat="false" ht="15" hidden="false" customHeight="false" outlineLevel="0" collapsed="false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</row>
    <row r="463" customFormat="false" ht="15" hidden="false" customHeight="false" outlineLevel="0" collapsed="false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</row>
    <row r="464" customFormat="false" ht="15" hidden="false" customHeight="false" outlineLevel="0" collapsed="false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</row>
    <row r="465" customFormat="false" ht="15" hidden="false" customHeight="false" outlineLevel="0" collapsed="false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</row>
    <row r="466" customFormat="false" ht="15" hidden="false" customHeight="false" outlineLevel="0" collapsed="false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</row>
    <row r="467" customFormat="false" ht="15" hidden="false" customHeight="false" outlineLevel="0" collapsed="false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</row>
    <row r="468" customFormat="false" ht="15" hidden="false" customHeight="false" outlineLevel="0" collapsed="false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</row>
    <row r="469" customFormat="false" ht="15" hidden="false" customHeight="false" outlineLevel="0" collapsed="false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</row>
    <row r="470" customFormat="false" ht="15" hidden="false" customHeight="false" outlineLevel="0" collapsed="false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</row>
    <row r="471" customFormat="false" ht="15" hidden="false" customHeight="false" outlineLevel="0" collapsed="false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</row>
    <row r="472" customFormat="false" ht="15" hidden="false" customHeight="false" outlineLevel="0" collapsed="false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</row>
    <row r="473" customFormat="false" ht="15" hidden="false" customHeight="false" outlineLevel="0" collapsed="false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</row>
    <row r="474" customFormat="false" ht="15" hidden="false" customHeight="false" outlineLevel="0" collapsed="false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</row>
    <row r="475" customFormat="false" ht="15" hidden="false" customHeight="false" outlineLevel="0" collapsed="false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</row>
    <row r="476" customFormat="false" ht="15" hidden="false" customHeight="false" outlineLevel="0" collapsed="false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</row>
    <row r="477" customFormat="false" ht="15" hidden="false" customHeight="false" outlineLevel="0" collapsed="false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</row>
    <row r="478" customFormat="false" ht="15" hidden="false" customHeight="false" outlineLevel="0" collapsed="false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</row>
    <row r="479" customFormat="false" ht="15" hidden="false" customHeight="false" outlineLevel="0" collapsed="false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</row>
    <row r="480" customFormat="false" ht="15" hidden="false" customHeight="false" outlineLevel="0" collapsed="false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</row>
    <row r="481" customFormat="false" ht="15" hidden="false" customHeight="false" outlineLevel="0" collapsed="false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</row>
    <row r="482" customFormat="false" ht="15" hidden="false" customHeight="false" outlineLevel="0" collapsed="false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</row>
    <row r="483" customFormat="false" ht="15" hidden="false" customHeight="false" outlineLevel="0" collapsed="false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</row>
    <row r="484" customFormat="false" ht="15" hidden="false" customHeight="false" outlineLevel="0" collapsed="false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</row>
    <row r="485" customFormat="false" ht="15" hidden="false" customHeight="false" outlineLevel="0" collapsed="false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</row>
    <row r="486" customFormat="false" ht="15" hidden="false" customHeight="false" outlineLevel="0" collapsed="false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</row>
    <row r="487" customFormat="false" ht="15" hidden="false" customHeight="false" outlineLevel="0" collapsed="false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</row>
    <row r="488" customFormat="false" ht="15" hidden="false" customHeight="false" outlineLevel="0" collapsed="false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</row>
    <row r="489" customFormat="false" ht="15" hidden="false" customHeight="false" outlineLevel="0" collapsed="false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</row>
    <row r="490" customFormat="false" ht="15" hidden="false" customHeight="false" outlineLevel="0" collapsed="false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</row>
    <row r="491" customFormat="false" ht="15" hidden="false" customHeight="false" outlineLevel="0" collapsed="false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</row>
    <row r="492" customFormat="false" ht="15" hidden="false" customHeight="false" outlineLevel="0" collapsed="false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</row>
    <row r="493" customFormat="false" ht="15" hidden="false" customHeight="false" outlineLevel="0" collapsed="false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</row>
    <row r="494" customFormat="false" ht="15" hidden="false" customHeight="false" outlineLevel="0" collapsed="false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</row>
    <row r="495" customFormat="false" ht="15" hidden="false" customHeight="false" outlineLevel="0" collapsed="false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</row>
    <row r="496" customFormat="false" ht="15" hidden="false" customHeight="false" outlineLevel="0" collapsed="false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</row>
    <row r="497" customFormat="false" ht="15" hidden="false" customHeight="false" outlineLevel="0" collapsed="false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</row>
    <row r="498" customFormat="false" ht="15" hidden="false" customHeight="false" outlineLevel="0" collapsed="false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</row>
    <row r="499" customFormat="false" ht="15" hidden="false" customHeight="false" outlineLevel="0" collapsed="false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</row>
    <row r="500" customFormat="false" ht="15" hidden="false" customHeight="false" outlineLevel="0" collapsed="false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</row>
  </sheetData>
  <dataValidations count="3">
    <dataValidation allowBlank="true" errorStyle="stop" operator="between" showDropDown="false" showErrorMessage="false" showInputMessage="false" sqref="E2:E500" type="list">
      <formula1>Lists!$A$2:$A$60</formula1>
      <formula2>0</formula2>
    </dataValidation>
    <dataValidation allowBlank="true" errorStyle="stop" operator="between" showDropDown="false" showErrorMessage="false" showInputMessage="false" sqref="F2:F500" type="list">
      <formula1>Lists!$B$2:$B$60</formula1>
      <formula2>0</formula2>
    </dataValidation>
    <dataValidation allowBlank="true" errorStyle="stop" operator="between" showDropDown="false" showErrorMessage="false" showInputMessage="false" sqref="K2:K500" type="list">
      <formula1>Lists!$F$2:$F$60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17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26"/>
    <col collapsed="false" customWidth="true" hidden="true" outlineLevel="0" max="16" min="14" style="0" width="13"/>
  </cols>
  <sheetData>
    <row r="1" customFormat="false" ht="23.85" hidden="false" customHeight="false" outlineLevel="0" collapsed="false">
      <c r="A1" s="8" t="s">
        <v>34</v>
      </c>
      <c r="B1" s="8" t="s">
        <v>14</v>
      </c>
      <c r="C1" s="8" t="s">
        <v>35</v>
      </c>
      <c r="D1" s="8" t="s">
        <v>36</v>
      </c>
      <c r="E1" s="8" t="s">
        <v>37</v>
      </c>
      <c r="F1" s="8" t="s">
        <v>38</v>
      </c>
      <c r="G1" s="8" t="s">
        <v>39</v>
      </c>
      <c r="H1" s="8" t="s">
        <v>40</v>
      </c>
      <c r="I1" s="8" t="s">
        <v>41</v>
      </c>
      <c r="J1" s="8" t="s">
        <v>42</v>
      </c>
      <c r="K1" s="8" t="s">
        <v>43</v>
      </c>
      <c r="L1" s="8" t="s">
        <v>44</v>
      </c>
    </row>
    <row r="2" customFormat="false" ht="15" hidden="false" customHeight="false" outlineLevel="0" collapsed="false">
      <c r="A2" s="9" t="s">
        <v>45</v>
      </c>
      <c r="B2" s="9" t="s">
        <v>24</v>
      </c>
      <c r="C2" s="10" t="str">
        <f aca="false">IF($B2="","",IFERROR(INDEX('Client Master'!$C:$C,MATCH($B2,'Client Master'!$B:$B,0)),"Code not found"))</f>
        <v>Sample Traders (example row)</v>
      </c>
      <c r="D2" s="9" t="s">
        <v>46</v>
      </c>
      <c r="E2" s="9" t="s">
        <v>47</v>
      </c>
      <c r="F2" s="9" t="s">
        <v>48</v>
      </c>
      <c r="G2" s="11" t="n">
        <v>46223</v>
      </c>
      <c r="H2" s="11" t="n">
        <v>46218</v>
      </c>
      <c r="I2" s="9" t="s">
        <v>49</v>
      </c>
      <c r="J2" s="12" t="n">
        <v>2000</v>
      </c>
      <c r="K2" s="11"/>
      <c r="L2" s="9" t="s">
        <v>50</v>
      </c>
      <c r="N2" s="13" t="n">
        <f aca="false">IF(AND($J2&gt;0,$K2="",$A2&lt;&gt;""),SUMPRODUCT(($J$2:$J$600&gt;0)*($K$2:$K$600="")*($A$2:$A$600&lt;&gt;"")*((IF($G$2:$G$600="",99999999,$G$2:$G$600))&lt;IF($G2="",99999999,$G2)))+SUMPRODUCT(($J$2:$J2&gt;0)*($K$2:$K2="")*($A$2:$A2&lt;&gt;"")*((IF($G$2:$G2="",99999999,$G$2:$G2))=IF($G2="",99999999,$G2))),"")</f>
        <v>1</v>
      </c>
      <c r="O2" s="0" t="str">
        <f aca="false">IF(AND($F2="Not Started",$A2&lt;&gt;""),SUMPRODUCT(($F$2:$F$600="Not Started")*($A$2:$A$600&lt;&gt;"")*((IF($G$2:$G$600="",99999999,$G$2:$G$600))&lt;IF($G2="",99999999,$G2)))+SUMPRODUCT(($F$2:$F2="Not Started")*($A$2:$A2&lt;&gt;"")*((IF($G$2:$G2="",99999999,$G$2:$G2))=IF($G2="",99999999,$G2))),"")</f>
        <v/>
      </c>
      <c r="P2" s="13" t="n">
        <f aca="false">IF(AND(OR($F2="In Progress",$F2="Pending Client Data",$F2="Under Review"),$A2&lt;&gt;""),SUMPRODUCT((($F$2:$F$600="In Progress")+($F$2:$F$600="Pending Client Data")+($F$2:$F$600="Under Review"))*($A$2:$A$600&lt;&gt;"")*((IF($G$2:$G$600="",99999999,$G$2:$G$600))&lt;IF($G2="",99999999,$G2)))+SUMPRODUCT((($F$2:$F2="In Progress")+($F$2:$F2="Pending Client Data")+($F$2:$F2="Under Review"))*($A$2:$A2&lt;&gt;"")*((IF($G$2:$G2="",99999999,$G$2:$G2))=IF($G2="",99999999,$G2))),"")</f>
        <v>1</v>
      </c>
    </row>
    <row r="3" customFormat="false" ht="15" hidden="false" customHeight="false" outlineLevel="0" collapsed="false">
      <c r="A3" s="9" t="s">
        <v>51</v>
      </c>
      <c r="B3" s="9" t="s">
        <v>24</v>
      </c>
      <c r="C3" s="10" t="str">
        <f aca="false">IF($B3="","",IFERROR(INDEX('Client Master'!$C:$C,MATCH($B3,'Client Master'!$B:$B,0)),"Code not found"))</f>
        <v>Sample Traders (example row)</v>
      </c>
      <c r="D3" s="9" t="s">
        <v>52</v>
      </c>
      <c r="E3" s="9" t="s">
        <v>53</v>
      </c>
      <c r="F3" s="9" t="s">
        <v>54</v>
      </c>
      <c r="G3" s="11" t="n">
        <v>46265</v>
      </c>
      <c r="H3" s="11" t="n">
        <v>46249</v>
      </c>
      <c r="I3" s="9" t="s">
        <v>55</v>
      </c>
      <c r="J3" s="12" t="n">
        <v>5000</v>
      </c>
      <c r="K3" s="11"/>
      <c r="L3" s="9" t="s">
        <v>56</v>
      </c>
      <c r="N3" s="13" t="n">
        <f aca="false">IF(AND($J3&gt;0,$K3="",$A3&lt;&gt;""),SUMPRODUCT(($J$2:$J$600&gt;0)*($K$2:$K$600="")*($A$2:$A$600&lt;&gt;"")*((IF($G$2:$G$600="",99999999,$G$2:$G$600))&lt;IF($G3="",99999999,$G3)))+SUMPRODUCT(($J$2:$J3&gt;0)*($K$2:$K3="")*($A$2:$A3&lt;&gt;"")*((IF($G$2:$G3="",99999999,$G$2:$G3))=IF($G3="",99999999,$G3))),"")</f>
        <v>2</v>
      </c>
      <c r="O3" s="13" t="n">
        <f aca="false">IF(AND($F3="Not Started",$A3&lt;&gt;""),SUMPRODUCT(($F$2:$F$600="Not Started")*($A$2:$A$600&lt;&gt;"")*((IF($G$2:$G$600="",99999999,$G$2:$G$600))&lt;IF($G3="",99999999,$G3)))+SUMPRODUCT(($F$2:$F3="Not Started")*($A$2:$A3&lt;&gt;"")*((IF($G$2:$G3="",99999999,$G$2:$G3))=IF($G3="",99999999,$G3))),"")</f>
        <v>1</v>
      </c>
      <c r="P3" s="0" t="str">
        <f aca="false">IF(AND(OR($F3="In Progress",$F3="Pending Client Data",$F3="Under Review"),$A3&lt;&gt;""),SUMPRODUCT((($F$2:$F$600="In Progress")+($F$2:$F$600="Pending Client Data")+($F$2:$F$600="Under Review"))*($A$2:$A$600&lt;&gt;"")*((IF($G$2:$G$600="",99999999,$G$2:$G$600))&lt;IF($G3="",99999999,$G3)))+SUMPRODUCT((($F$2:$F3="In Progress")+($F$2:$F3="Pending Client Data")+($F$2:$F3="Under Review"))*($A$2:$A3&lt;&gt;"")*((IF($G$2:$G3="",99999999,$G$2:$G3))=IF($G3="",99999999,$G3))),"")</f>
        <v/>
      </c>
    </row>
    <row r="4" customFormat="false" ht="15" hidden="false" customHeight="false" outlineLevel="0" collapsed="false">
      <c r="A4" s="9" t="s">
        <v>57</v>
      </c>
      <c r="B4" s="9" t="s">
        <v>24</v>
      </c>
      <c r="C4" s="10" t="str">
        <f aca="false">IF($B4="","",IFERROR(INDEX('Client Master'!$C:$C,MATCH($B4,'Client Master'!$B:$B,0)),"Code not found"))</f>
        <v>Sample Traders (example row)</v>
      </c>
      <c r="D4" s="9" t="s">
        <v>58</v>
      </c>
      <c r="E4" s="9" t="s">
        <v>53</v>
      </c>
      <c r="F4" s="9" t="s">
        <v>59</v>
      </c>
      <c r="G4" s="11" t="n">
        <v>46203</v>
      </c>
      <c r="H4" s="11" t="n">
        <v>46193</v>
      </c>
      <c r="I4" s="9" t="s">
        <v>49</v>
      </c>
      <c r="J4" s="12" t="n">
        <v>15000</v>
      </c>
      <c r="K4" s="11" t="n">
        <v>46208</v>
      </c>
      <c r="L4" s="9" t="s">
        <v>60</v>
      </c>
      <c r="N4" s="0" t="str">
        <f aca="false">IF(AND($J4&gt;0,$K4="",$A4&lt;&gt;""),SUMPRODUCT(($J$2:$J$600&gt;0)*($K$2:$K$600="")*($A$2:$A$600&lt;&gt;"")*((IF($G$2:$G$600="",99999999,$G$2:$G$600))&lt;IF($G4="",99999999,$G4)))+SUMPRODUCT(($J$2:$J4&gt;0)*($K$2:$K4="")*($A$2:$A4&lt;&gt;"")*((IF($G$2:$G4="",99999999,$G$2:$G4))=IF($G4="",99999999,$G4))),"")</f>
        <v/>
      </c>
      <c r="O4" s="0" t="str">
        <f aca="false">IF(AND($F4="Not Started",$A4&lt;&gt;""),SUMPRODUCT(($F$2:$F$600="Not Started")*($A$2:$A$600&lt;&gt;"")*((IF($G$2:$G$600="",99999999,$G$2:$G$600))&lt;IF($G4="",99999999,$G4)))+SUMPRODUCT(($F$2:$F4="Not Started")*($A$2:$A4&lt;&gt;"")*((IF($G$2:$G4="",99999999,$G$2:$G4))=IF($G4="",99999999,$G4))),"")</f>
        <v/>
      </c>
      <c r="P4" s="0" t="str">
        <f aca="false">IF(AND(OR($F4="In Progress",$F4="Pending Client Data",$F4="Under Review"),$A4&lt;&gt;""),SUMPRODUCT((($F$2:$F$600="In Progress")+($F$2:$F$600="Pending Client Data")+($F$2:$F$600="Under Review"))*($A$2:$A$600&lt;&gt;"")*((IF($G$2:$G$600="",99999999,$G$2:$G$600))&lt;IF($G4="",99999999,$G4)))+SUMPRODUCT((($F$2:$F4="In Progress")+($F$2:$F4="Pending Client Data")+($F$2:$F4="Under Review"))*($A$2:$A4&lt;&gt;"")*((IF($G$2:$G4="",99999999,$G$2:$G4))=IF($G4="",99999999,$G4))),"")</f>
        <v/>
      </c>
    </row>
    <row r="5" customFormat="false" ht="15" hidden="false" customHeight="false" outlineLevel="0" collapsed="false">
      <c r="A5" s="9"/>
      <c r="B5" s="9"/>
      <c r="C5" s="10" t="str">
        <f aca="false">IF($B5="","",IFERROR(INDEX('Client Master'!$C:$C,MATCH($B5,'Client Master'!$B:$B,0)),"Code not found"))</f>
        <v/>
      </c>
      <c r="D5" s="9"/>
      <c r="E5" s="9"/>
      <c r="F5" s="9"/>
      <c r="G5" s="11"/>
      <c r="H5" s="11"/>
      <c r="I5" s="9"/>
      <c r="J5" s="12"/>
      <c r="K5" s="11"/>
      <c r="L5" s="9"/>
      <c r="N5" s="0" t="str">
        <f aca="false">IF(AND($J5&gt;0,$K5="",$A5&lt;&gt;""),SUMPRODUCT(($J$2:$J$600&gt;0)*($K$2:$K$600="")*($A$2:$A$600&lt;&gt;"")*((IF($G$2:$G$600="",99999999,$G$2:$G$600))&lt;IF($G5="",99999999,$G5)))+SUMPRODUCT(($J$2:$J5&gt;0)*($K$2:$K5="")*($A$2:$A5&lt;&gt;"")*((IF($G$2:$G5="",99999999,$G$2:$G5))=IF($G5="",99999999,$G5))),"")</f>
        <v/>
      </c>
      <c r="O5" s="0" t="str">
        <f aca="false">IF(AND($F5="Not Started",$A5&lt;&gt;""),SUMPRODUCT(($F$2:$F$600="Not Started")*($A$2:$A$600&lt;&gt;"")*((IF($G$2:$G$600="",99999999,$G$2:$G$600))&lt;IF($G5="",99999999,$G5)))+SUMPRODUCT(($F$2:$F5="Not Started")*($A$2:$A5&lt;&gt;"")*((IF($G$2:$G5="",99999999,$G$2:$G5))=IF($G5="",99999999,$G5))),"")</f>
        <v/>
      </c>
      <c r="P5" s="0" t="str">
        <f aca="false">IF(AND(OR($F5="In Progress",$F5="Pending Client Data",$F5="Under Review"),$A5&lt;&gt;""),SUMPRODUCT((($F$2:$F$600="In Progress")+($F$2:$F$600="Pending Client Data")+($F$2:$F$600="Under Review"))*($A$2:$A$600&lt;&gt;"")*((IF($G$2:$G$600="",99999999,$G$2:$G$600))&lt;IF($G5="",99999999,$G5)))+SUMPRODUCT((($F$2:$F5="In Progress")+($F$2:$F5="Pending Client Data")+($F$2:$F5="Under Review"))*($A$2:$A5&lt;&gt;"")*((IF($G$2:$G5="",99999999,$G$2:$G5))=IF($G5="",99999999,$G5))),"")</f>
        <v/>
      </c>
    </row>
    <row r="6" customFormat="false" ht="15" hidden="false" customHeight="false" outlineLevel="0" collapsed="false">
      <c r="A6" s="9"/>
      <c r="B6" s="9"/>
      <c r="C6" s="10" t="str">
        <f aca="false">IF($B6="","",IFERROR(INDEX('Client Master'!$C:$C,MATCH($B6,'Client Master'!$B:$B,0)),"Code not found"))</f>
        <v/>
      </c>
      <c r="D6" s="9"/>
      <c r="E6" s="9"/>
      <c r="F6" s="9"/>
      <c r="G6" s="11"/>
      <c r="H6" s="11"/>
      <c r="I6" s="9"/>
      <c r="J6" s="12"/>
      <c r="K6" s="11"/>
      <c r="L6" s="9"/>
      <c r="N6" s="0" t="str">
        <f aca="false">IF(AND($J6&gt;0,$K6="",$A6&lt;&gt;""),SUMPRODUCT(($J$2:$J$600&gt;0)*($K$2:$K$600="")*($A$2:$A$600&lt;&gt;"")*((IF($G$2:$G$600="",99999999,$G$2:$G$600))&lt;IF($G6="",99999999,$G6)))+SUMPRODUCT(($J$2:$J6&gt;0)*($K$2:$K6="")*($A$2:$A6&lt;&gt;"")*((IF($G$2:$G6="",99999999,$G$2:$G6))=IF($G6="",99999999,$G6))),"")</f>
        <v/>
      </c>
      <c r="O6" s="0" t="str">
        <f aca="false">IF(AND($F6="Not Started",$A6&lt;&gt;""),SUMPRODUCT(($F$2:$F$600="Not Started")*($A$2:$A$600&lt;&gt;"")*((IF($G$2:$G$600="",99999999,$G$2:$G$600))&lt;IF($G6="",99999999,$G6)))+SUMPRODUCT(($F$2:$F6="Not Started")*($A$2:$A6&lt;&gt;"")*((IF($G$2:$G6="",99999999,$G$2:$G6))=IF($G6="",99999999,$G6))),"")</f>
        <v/>
      </c>
      <c r="P6" s="0" t="str">
        <f aca="false">IF(AND(OR($F6="In Progress",$F6="Pending Client Data",$F6="Under Review"),$A6&lt;&gt;""),SUMPRODUCT((($F$2:$F$600="In Progress")+($F$2:$F$600="Pending Client Data")+($F$2:$F$600="Under Review"))*($A$2:$A$600&lt;&gt;"")*((IF($G$2:$G$600="",99999999,$G$2:$G$600))&lt;IF($G6="",99999999,$G6)))+SUMPRODUCT((($F$2:$F6="In Progress")+($F$2:$F6="Pending Client Data")+($F$2:$F6="Under Review"))*($A$2:$A6&lt;&gt;"")*((IF($G$2:$G6="",99999999,$G$2:$G6))=IF($G6="",99999999,$G6))),"")</f>
        <v/>
      </c>
    </row>
    <row r="7" customFormat="false" ht="15" hidden="false" customHeight="false" outlineLevel="0" collapsed="false">
      <c r="A7" s="9"/>
      <c r="B7" s="9"/>
      <c r="C7" s="10" t="str">
        <f aca="false">IF($B7="","",IFERROR(INDEX('Client Master'!$C:$C,MATCH($B7,'Client Master'!$B:$B,0)),"Code not found"))</f>
        <v/>
      </c>
      <c r="D7" s="9"/>
      <c r="E7" s="9"/>
      <c r="F7" s="9"/>
      <c r="G7" s="11"/>
      <c r="H7" s="11"/>
      <c r="I7" s="9"/>
      <c r="J7" s="12"/>
      <c r="K7" s="11"/>
      <c r="L7" s="9"/>
      <c r="N7" s="0" t="str">
        <f aca="false">IF(AND($J7&gt;0,$K7="",$A7&lt;&gt;""),SUMPRODUCT(($J$2:$J$600&gt;0)*($K$2:$K$600="")*($A$2:$A$600&lt;&gt;"")*((IF($G$2:$G$600="",99999999,$G$2:$G$600))&lt;IF($G7="",99999999,$G7)))+SUMPRODUCT(($J$2:$J7&gt;0)*($K$2:$K7="")*($A$2:$A7&lt;&gt;"")*((IF($G$2:$G7="",99999999,$G$2:$G7))=IF($G7="",99999999,$G7))),"")</f>
        <v/>
      </c>
      <c r="O7" s="0" t="str">
        <f aca="false">IF(AND($F7="Not Started",$A7&lt;&gt;""),SUMPRODUCT(($F$2:$F$600="Not Started")*($A$2:$A$600&lt;&gt;"")*((IF($G$2:$G$600="",99999999,$G$2:$G$600))&lt;IF($G7="",99999999,$G7)))+SUMPRODUCT(($F$2:$F7="Not Started")*($A$2:$A7&lt;&gt;"")*((IF($G$2:$G7="",99999999,$G$2:$G7))=IF($G7="",99999999,$G7))),"")</f>
        <v/>
      </c>
      <c r="P7" s="0" t="str">
        <f aca="false">IF(AND(OR($F7="In Progress",$F7="Pending Client Data",$F7="Under Review"),$A7&lt;&gt;""),SUMPRODUCT((($F$2:$F$600="In Progress")+($F$2:$F$600="Pending Client Data")+($F$2:$F$600="Under Review"))*($A$2:$A$600&lt;&gt;"")*((IF($G$2:$G$600="",99999999,$G$2:$G$600))&lt;IF($G7="",99999999,$G7)))+SUMPRODUCT((($F$2:$F7="In Progress")+($F$2:$F7="Pending Client Data")+($F$2:$F7="Under Review"))*($A$2:$A7&lt;&gt;"")*((IF($G$2:$G7="",99999999,$G$2:$G7))=IF($G7="",99999999,$G7))),"")</f>
        <v/>
      </c>
    </row>
    <row r="8" customFormat="false" ht="15" hidden="false" customHeight="false" outlineLevel="0" collapsed="false">
      <c r="A8" s="9"/>
      <c r="B8" s="9"/>
      <c r="C8" s="10" t="str">
        <f aca="false">IF($B8="","",IFERROR(INDEX('Client Master'!$C:$C,MATCH($B8,'Client Master'!$B:$B,0)),"Code not found"))</f>
        <v/>
      </c>
      <c r="D8" s="9"/>
      <c r="E8" s="9"/>
      <c r="F8" s="9"/>
      <c r="G8" s="11"/>
      <c r="H8" s="11"/>
      <c r="I8" s="9"/>
      <c r="J8" s="12"/>
      <c r="K8" s="11"/>
      <c r="L8" s="9"/>
      <c r="N8" s="0" t="str">
        <f aca="false">IF(AND($J8&gt;0,$K8="",$A8&lt;&gt;""),SUMPRODUCT(($J$2:$J$600&gt;0)*($K$2:$K$600="")*($A$2:$A$600&lt;&gt;"")*((IF($G$2:$G$600="",99999999,$G$2:$G$600))&lt;IF($G8="",99999999,$G8)))+SUMPRODUCT(($J$2:$J8&gt;0)*($K$2:$K8="")*($A$2:$A8&lt;&gt;"")*((IF($G$2:$G8="",99999999,$G$2:$G8))=IF($G8="",99999999,$G8))),"")</f>
        <v/>
      </c>
      <c r="O8" s="0" t="str">
        <f aca="false">IF(AND($F8="Not Started",$A8&lt;&gt;""),SUMPRODUCT(($F$2:$F$600="Not Started")*($A$2:$A$600&lt;&gt;"")*((IF($G$2:$G$600="",99999999,$G$2:$G$600))&lt;IF($G8="",99999999,$G8)))+SUMPRODUCT(($F$2:$F8="Not Started")*($A$2:$A8&lt;&gt;"")*((IF($G$2:$G8="",99999999,$G$2:$G8))=IF($G8="",99999999,$G8))),"")</f>
        <v/>
      </c>
      <c r="P8" s="0" t="str">
        <f aca="false">IF(AND(OR($F8="In Progress",$F8="Pending Client Data",$F8="Under Review"),$A8&lt;&gt;""),SUMPRODUCT((($F$2:$F$600="In Progress")+($F$2:$F$600="Pending Client Data")+($F$2:$F$600="Under Review"))*($A$2:$A$600&lt;&gt;"")*((IF($G$2:$G$600="",99999999,$G$2:$G$600))&lt;IF($G8="",99999999,$G8)))+SUMPRODUCT((($F$2:$F8="In Progress")+($F$2:$F8="Pending Client Data")+($F$2:$F8="Under Review"))*($A$2:$A8&lt;&gt;"")*((IF($G$2:$G8="",99999999,$G$2:$G8))=IF($G8="",99999999,$G8))),"")</f>
        <v/>
      </c>
    </row>
    <row r="9" customFormat="false" ht="15" hidden="false" customHeight="false" outlineLevel="0" collapsed="false">
      <c r="A9" s="9"/>
      <c r="B9" s="9"/>
      <c r="C9" s="10" t="str">
        <f aca="false">IF($B9="","",IFERROR(INDEX('Client Master'!$C:$C,MATCH($B9,'Client Master'!$B:$B,0)),"Code not found"))</f>
        <v/>
      </c>
      <c r="D9" s="9"/>
      <c r="E9" s="9"/>
      <c r="F9" s="9"/>
      <c r="G9" s="11"/>
      <c r="H9" s="11"/>
      <c r="I9" s="9"/>
      <c r="J9" s="12"/>
      <c r="K9" s="11"/>
      <c r="L9" s="9"/>
      <c r="N9" s="0" t="str">
        <f aca="false">IF(AND($J9&gt;0,$K9="",$A9&lt;&gt;""),SUMPRODUCT(($J$2:$J$600&gt;0)*($K$2:$K$600="")*($A$2:$A$600&lt;&gt;"")*((IF($G$2:$G$600="",99999999,$G$2:$G$600))&lt;IF($G9="",99999999,$G9)))+SUMPRODUCT(($J$2:$J9&gt;0)*($K$2:$K9="")*($A$2:$A9&lt;&gt;"")*((IF($G$2:$G9="",99999999,$G$2:$G9))=IF($G9="",99999999,$G9))),"")</f>
        <v/>
      </c>
      <c r="O9" s="0" t="str">
        <f aca="false">IF(AND($F9="Not Started",$A9&lt;&gt;""),SUMPRODUCT(($F$2:$F$600="Not Started")*($A$2:$A$600&lt;&gt;"")*((IF($G$2:$G$600="",99999999,$G$2:$G$600))&lt;IF($G9="",99999999,$G9)))+SUMPRODUCT(($F$2:$F9="Not Started")*($A$2:$A9&lt;&gt;"")*((IF($G$2:$G9="",99999999,$G$2:$G9))=IF($G9="",99999999,$G9))),"")</f>
        <v/>
      </c>
      <c r="P9" s="0" t="str">
        <f aca="false">IF(AND(OR($F9="In Progress",$F9="Pending Client Data",$F9="Under Review"),$A9&lt;&gt;""),SUMPRODUCT((($F$2:$F$600="In Progress")+($F$2:$F$600="Pending Client Data")+($F$2:$F$600="Under Review"))*($A$2:$A$600&lt;&gt;"")*((IF($G$2:$G$600="",99999999,$G$2:$G$600))&lt;IF($G9="",99999999,$G9)))+SUMPRODUCT((($F$2:$F9="In Progress")+($F$2:$F9="Pending Client Data")+($F$2:$F9="Under Review"))*($A$2:$A9&lt;&gt;"")*((IF($G$2:$G9="",99999999,$G$2:$G9))=IF($G9="",99999999,$G9))),"")</f>
        <v/>
      </c>
    </row>
    <row r="10" customFormat="false" ht="15" hidden="false" customHeight="false" outlineLevel="0" collapsed="false">
      <c r="A10" s="9"/>
      <c r="B10" s="9"/>
      <c r="C10" s="10" t="str">
        <f aca="false">IF($B10="","",IFERROR(INDEX('Client Master'!$C:$C,MATCH($B10,'Client Master'!$B:$B,0)),"Code not found"))</f>
        <v/>
      </c>
      <c r="D10" s="9"/>
      <c r="E10" s="9"/>
      <c r="F10" s="9"/>
      <c r="G10" s="11"/>
      <c r="H10" s="11"/>
      <c r="I10" s="9"/>
      <c r="J10" s="12"/>
      <c r="K10" s="11"/>
      <c r="L10" s="9"/>
      <c r="N10" s="0" t="str">
        <f aca="false">IF(AND($J10&gt;0,$K10="",$A10&lt;&gt;""),SUMPRODUCT(($J$2:$J$600&gt;0)*($K$2:$K$600="")*($A$2:$A$600&lt;&gt;"")*((IF($G$2:$G$600="",99999999,$G$2:$G$600))&lt;IF($G10="",99999999,$G10)))+SUMPRODUCT(($J$2:$J10&gt;0)*($K$2:$K10="")*($A$2:$A10&lt;&gt;"")*((IF($G$2:$G10="",99999999,$G$2:$G10))=IF($G10="",99999999,$G10))),"")</f>
        <v/>
      </c>
      <c r="O10" s="0" t="str">
        <f aca="false">IF(AND($F10="Not Started",$A10&lt;&gt;""),SUMPRODUCT(($F$2:$F$600="Not Started")*($A$2:$A$600&lt;&gt;"")*((IF($G$2:$G$600="",99999999,$G$2:$G$600))&lt;IF($G10="",99999999,$G10)))+SUMPRODUCT(($F$2:$F10="Not Started")*($A$2:$A10&lt;&gt;"")*((IF($G$2:$G10="",99999999,$G$2:$G10))=IF($G10="",99999999,$G10))),"")</f>
        <v/>
      </c>
      <c r="P10" s="0" t="str">
        <f aca="false">IF(AND(OR($F10="In Progress",$F10="Pending Client Data",$F10="Under Review"),$A10&lt;&gt;""),SUMPRODUCT((($F$2:$F$600="In Progress")+($F$2:$F$600="Pending Client Data")+($F$2:$F$600="Under Review"))*($A$2:$A$600&lt;&gt;"")*((IF($G$2:$G$600="",99999999,$G$2:$G$600))&lt;IF($G10="",99999999,$G10)))+SUMPRODUCT((($F$2:$F10="In Progress")+($F$2:$F10="Pending Client Data")+($F$2:$F10="Under Review"))*($A$2:$A10&lt;&gt;"")*((IF($G$2:$G10="",99999999,$G$2:$G10))=IF($G10="",99999999,$G10))),"")</f>
        <v/>
      </c>
    </row>
    <row r="11" customFormat="false" ht="15" hidden="false" customHeight="false" outlineLevel="0" collapsed="false">
      <c r="A11" s="9"/>
      <c r="B11" s="9"/>
      <c r="C11" s="10" t="str">
        <f aca="false">IF($B11="","",IFERROR(INDEX('Client Master'!$C:$C,MATCH($B11,'Client Master'!$B:$B,0)),"Code not found"))</f>
        <v/>
      </c>
      <c r="D11" s="9"/>
      <c r="E11" s="9"/>
      <c r="F11" s="9"/>
      <c r="G11" s="11"/>
      <c r="H11" s="11"/>
      <c r="I11" s="9"/>
      <c r="J11" s="12"/>
      <c r="K11" s="11"/>
      <c r="L11" s="9"/>
      <c r="N11" s="0" t="str">
        <f aca="false">IF(AND($J11&gt;0,$K11="",$A11&lt;&gt;""),SUMPRODUCT(($J$2:$J$600&gt;0)*($K$2:$K$600="")*($A$2:$A$600&lt;&gt;"")*((IF($G$2:$G$600="",99999999,$G$2:$G$600))&lt;IF($G11="",99999999,$G11)))+SUMPRODUCT(($J$2:$J11&gt;0)*($K$2:$K11="")*($A$2:$A11&lt;&gt;"")*((IF($G$2:$G11="",99999999,$G$2:$G11))=IF($G11="",99999999,$G11))),"")</f>
        <v/>
      </c>
      <c r="O11" s="0" t="str">
        <f aca="false">IF(AND($F11="Not Started",$A11&lt;&gt;""),SUMPRODUCT(($F$2:$F$600="Not Started")*($A$2:$A$600&lt;&gt;"")*((IF($G$2:$G$600="",99999999,$G$2:$G$600))&lt;IF($G11="",99999999,$G11)))+SUMPRODUCT(($F$2:$F11="Not Started")*($A$2:$A11&lt;&gt;"")*((IF($G$2:$G11="",99999999,$G$2:$G11))=IF($G11="",99999999,$G11))),"")</f>
        <v/>
      </c>
      <c r="P11" s="0" t="str">
        <f aca="false">IF(AND(OR($F11="In Progress",$F11="Pending Client Data",$F11="Under Review"),$A11&lt;&gt;""),SUMPRODUCT((($F$2:$F$600="In Progress")+($F$2:$F$600="Pending Client Data")+($F$2:$F$600="Under Review"))*($A$2:$A$600&lt;&gt;"")*((IF($G$2:$G$600="",99999999,$G$2:$G$600))&lt;IF($G11="",99999999,$G11)))+SUMPRODUCT((($F$2:$F11="In Progress")+($F$2:$F11="Pending Client Data")+($F$2:$F11="Under Review"))*($A$2:$A11&lt;&gt;"")*((IF($G$2:$G11="",99999999,$G$2:$G11))=IF($G11="",99999999,$G11))),"")</f>
        <v/>
      </c>
    </row>
    <row r="12" customFormat="false" ht="15" hidden="false" customHeight="false" outlineLevel="0" collapsed="false">
      <c r="A12" s="9"/>
      <c r="B12" s="9"/>
      <c r="C12" s="10" t="str">
        <f aca="false">IF($B12="","",IFERROR(INDEX('Client Master'!$C:$C,MATCH($B12,'Client Master'!$B:$B,0)),"Code not found"))</f>
        <v/>
      </c>
      <c r="D12" s="9"/>
      <c r="E12" s="9"/>
      <c r="F12" s="9"/>
      <c r="G12" s="11"/>
      <c r="H12" s="11"/>
      <c r="I12" s="9"/>
      <c r="J12" s="12"/>
      <c r="K12" s="11"/>
      <c r="L12" s="9"/>
      <c r="N12" s="0" t="str">
        <f aca="false">IF(AND($J12&gt;0,$K12="",$A12&lt;&gt;""),SUMPRODUCT(($J$2:$J$600&gt;0)*($K$2:$K$600="")*($A$2:$A$600&lt;&gt;"")*((IF($G$2:$G$600="",99999999,$G$2:$G$600))&lt;IF($G12="",99999999,$G12)))+SUMPRODUCT(($J$2:$J12&gt;0)*($K$2:$K12="")*($A$2:$A12&lt;&gt;"")*((IF($G$2:$G12="",99999999,$G$2:$G12))=IF($G12="",99999999,$G12))),"")</f>
        <v/>
      </c>
      <c r="O12" s="0" t="str">
        <f aca="false">IF(AND($F12="Not Started",$A12&lt;&gt;""),SUMPRODUCT(($F$2:$F$600="Not Started")*($A$2:$A$600&lt;&gt;"")*((IF($G$2:$G$600="",99999999,$G$2:$G$600))&lt;IF($G12="",99999999,$G12)))+SUMPRODUCT(($F$2:$F12="Not Started")*($A$2:$A12&lt;&gt;"")*((IF($G$2:$G12="",99999999,$G$2:$G12))=IF($G12="",99999999,$G12))),"")</f>
        <v/>
      </c>
      <c r="P12" s="0" t="str">
        <f aca="false">IF(AND(OR($F12="In Progress",$F12="Pending Client Data",$F12="Under Review"),$A12&lt;&gt;""),SUMPRODUCT((($F$2:$F$600="In Progress")+($F$2:$F$600="Pending Client Data")+($F$2:$F$600="Under Review"))*($A$2:$A$600&lt;&gt;"")*((IF($G$2:$G$600="",99999999,$G$2:$G$600))&lt;IF($G12="",99999999,$G12)))+SUMPRODUCT((($F$2:$F12="In Progress")+($F$2:$F12="Pending Client Data")+($F$2:$F12="Under Review"))*($A$2:$A12&lt;&gt;"")*((IF($G$2:$G12="",99999999,$G$2:$G12))=IF($G12="",99999999,$G12))),"")</f>
        <v/>
      </c>
    </row>
    <row r="13" customFormat="false" ht="15" hidden="false" customHeight="false" outlineLevel="0" collapsed="false">
      <c r="A13" s="9"/>
      <c r="B13" s="9"/>
      <c r="C13" s="10" t="str">
        <f aca="false">IF($B13="","",IFERROR(INDEX('Client Master'!$C:$C,MATCH($B13,'Client Master'!$B:$B,0)),"Code not found"))</f>
        <v/>
      </c>
      <c r="D13" s="9"/>
      <c r="E13" s="9"/>
      <c r="F13" s="9"/>
      <c r="G13" s="11"/>
      <c r="H13" s="11"/>
      <c r="I13" s="9"/>
      <c r="J13" s="12"/>
      <c r="K13" s="11"/>
      <c r="L13" s="9"/>
      <c r="N13" s="0" t="str">
        <f aca="false">IF(AND($J13&gt;0,$K13="",$A13&lt;&gt;""),SUMPRODUCT(($J$2:$J$600&gt;0)*($K$2:$K$600="")*($A$2:$A$600&lt;&gt;"")*((IF($G$2:$G$600="",99999999,$G$2:$G$600))&lt;IF($G13="",99999999,$G13)))+SUMPRODUCT(($J$2:$J13&gt;0)*($K$2:$K13="")*($A$2:$A13&lt;&gt;"")*((IF($G$2:$G13="",99999999,$G$2:$G13))=IF($G13="",99999999,$G13))),"")</f>
        <v/>
      </c>
      <c r="O13" s="0" t="str">
        <f aca="false">IF(AND($F13="Not Started",$A13&lt;&gt;""),SUMPRODUCT(($F$2:$F$600="Not Started")*($A$2:$A$600&lt;&gt;"")*((IF($G$2:$G$600="",99999999,$G$2:$G$600))&lt;IF($G13="",99999999,$G13)))+SUMPRODUCT(($F$2:$F13="Not Started")*($A$2:$A13&lt;&gt;"")*((IF($G$2:$G13="",99999999,$G$2:$G13))=IF($G13="",99999999,$G13))),"")</f>
        <v/>
      </c>
      <c r="P13" s="0" t="str">
        <f aca="false">IF(AND(OR($F13="In Progress",$F13="Pending Client Data",$F13="Under Review"),$A13&lt;&gt;""),SUMPRODUCT((($F$2:$F$600="In Progress")+($F$2:$F$600="Pending Client Data")+($F$2:$F$600="Under Review"))*($A$2:$A$600&lt;&gt;"")*((IF($G$2:$G$600="",99999999,$G$2:$G$600))&lt;IF($G13="",99999999,$G13)))+SUMPRODUCT((($F$2:$F13="In Progress")+($F$2:$F13="Pending Client Data")+($F$2:$F13="Under Review"))*($A$2:$A13&lt;&gt;"")*((IF($G$2:$G13="",99999999,$G$2:$G13))=IF($G13="",99999999,$G13))),"")</f>
        <v/>
      </c>
    </row>
    <row r="14" customFormat="false" ht="15" hidden="false" customHeight="false" outlineLevel="0" collapsed="false">
      <c r="A14" s="9"/>
      <c r="B14" s="9"/>
      <c r="C14" s="10" t="str">
        <f aca="false">IF($B14="","",IFERROR(INDEX('Client Master'!$C:$C,MATCH($B14,'Client Master'!$B:$B,0)),"Code not found"))</f>
        <v/>
      </c>
      <c r="D14" s="9"/>
      <c r="E14" s="9"/>
      <c r="F14" s="9"/>
      <c r="G14" s="11"/>
      <c r="H14" s="11"/>
      <c r="I14" s="9"/>
      <c r="J14" s="12"/>
      <c r="K14" s="11"/>
      <c r="L14" s="9"/>
      <c r="N14" s="0" t="str">
        <f aca="false">IF(AND($J14&gt;0,$K14="",$A14&lt;&gt;""),SUMPRODUCT(($J$2:$J$600&gt;0)*($K$2:$K$600="")*($A$2:$A$600&lt;&gt;"")*((IF($G$2:$G$600="",99999999,$G$2:$G$600))&lt;IF($G14="",99999999,$G14)))+SUMPRODUCT(($J$2:$J14&gt;0)*($K$2:$K14="")*($A$2:$A14&lt;&gt;"")*((IF($G$2:$G14="",99999999,$G$2:$G14))=IF($G14="",99999999,$G14))),"")</f>
        <v/>
      </c>
      <c r="O14" s="0" t="str">
        <f aca="false">IF(AND($F14="Not Started",$A14&lt;&gt;""),SUMPRODUCT(($F$2:$F$600="Not Started")*($A$2:$A$600&lt;&gt;"")*((IF($G$2:$G$600="",99999999,$G$2:$G$600))&lt;IF($G14="",99999999,$G14)))+SUMPRODUCT(($F$2:$F14="Not Started")*($A$2:$A14&lt;&gt;"")*((IF($G$2:$G14="",99999999,$G$2:$G14))=IF($G14="",99999999,$G14))),"")</f>
        <v/>
      </c>
      <c r="P14" s="0" t="str">
        <f aca="false">IF(AND(OR($F14="In Progress",$F14="Pending Client Data",$F14="Under Review"),$A14&lt;&gt;""),SUMPRODUCT((($F$2:$F$600="In Progress")+($F$2:$F$600="Pending Client Data")+($F$2:$F$600="Under Review"))*($A$2:$A$600&lt;&gt;"")*((IF($G$2:$G$600="",99999999,$G$2:$G$600))&lt;IF($G14="",99999999,$G14)))+SUMPRODUCT((($F$2:$F14="In Progress")+($F$2:$F14="Pending Client Data")+($F$2:$F14="Under Review"))*($A$2:$A14&lt;&gt;"")*((IF($G$2:$G14="",99999999,$G$2:$G14))=IF($G14="",99999999,$G14))),"")</f>
        <v/>
      </c>
    </row>
    <row r="15" customFormat="false" ht="15" hidden="false" customHeight="false" outlineLevel="0" collapsed="false">
      <c r="A15" s="9"/>
      <c r="B15" s="9"/>
      <c r="C15" s="10" t="str">
        <f aca="false">IF($B15="","",IFERROR(INDEX('Client Master'!$C:$C,MATCH($B15,'Client Master'!$B:$B,0)),"Code not found"))</f>
        <v/>
      </c>
      <c r="D15" s="9"/>
      <c r="E15" s="9"/>
      <c r="F15" s="9"/>
      <c r="G15" s="11"/>
      <c r="H15" s="11"/>
      <c r="I15" s="9"/>
      <c r="J15" s="12"/>
      <c r="K15" s="11"/>
      <c r="L15" s="9"/>
      <c r="N15" s="0" t="str">
        <f aca="false">IF(AND($J15&gt;0,$K15="",$A15&lt;&gt;""),SUMPRODUCT(($J$2:$J$600&gt;0)*($K$2:$K$600="")*($A$2:$A$600&lt;&gt;"")*((IF($G$2:$G$600="",99999999,$G$2:$G$600))&lt;IF($G15="",99999999,$G15)))+SUMPRODUCT(($J$2:$J15&gt;0)*($K$2:$K15="")*($A$2:$A15&lt;&gt;"")*((IF($G$2:$G15="",99999999,$G$2:$G15))=IF($G15="",99999999,$G15))),"")</f>
        <v/>
      </c>
      <c r="O15" s="0" t="str">
        <f aca="false">IF(AND($F15="Not Started",$A15&lt;&gt;""),SUMPRODUCT(($F$2:$F$600="Not Started")*($A$2:$A$600&lt;&gt;"")*((IF($G$2:$G$600="",99999999,$G$2:$G$600))&lt;IF($G15="",99999999,$G15)))+SUMPRODUCT(($F$2:$F15="Not Started")*($A$2:$A15&lt;&gt;"")*((IF($G$2:$G15="",99999999,$G$2:$G15))=IF($G15="",99999999,$G15))),"")</f>
        <v/>
      </c>
      <c r="P15" s="0" t="str">
        <f aca="false">IF(AND(OR($F15="In Progress",$F15="Pending Client Data",$F15="Under Review"),$A15&lt;&gt;""),SUMPRODUCT((($F$2:$F$600="In Progress")+($F$2:$F$600="Pending Client Data")+($F$2:$F$600="Under Review"))*($A$2:$A$600&lt;&gt;"")*((IF($G$2:$G$600="",99999999,$G$2:$G$600))&lt;IF($G15="",99999999,$G15)))+SUMPRODUCT((($F$2:$F15="In Progress")+($F$2:$F15="Pending Client Data")+($F$2:$F15="Under Review"))*($A$2:$A15&lt;&gt;"")*((IF($G$2:$G15="",99999999,$G$2:$G15))=IF($G15="",99999999,$G15))),"")</f>
        <v/>
      </c>
    </row>
    <row r="16" customFormat="false" ht="15" hidden="false" customHeight="false" outlineLevel="0" collapsed="false">
      <c r="A16" s="9"/>
      <c r="B16" s="9"/>
      <c r="C16" s="10" t="str">
        <f aca="false">IF($B16="","",IFERROR(INDEX('Client Master'!$C:$C,MATCH($B16,'Client Master'!$B:$B,0)),"Code not found"))</f>
        <v/>
      </c>
      <c r="D16" s="9"/>
      <c r="E16" s="9"/>
      <c r="F16" s="9"/>
      <c r="G16" s="11"/>
      <c r="H16" s="11"/>
      <c r="I16" s="9"/>
      <c r="J16" s="12"/>
      <c r="K16" s="11"/>
      <c r="L16" s="9"/>
      <c r="N16" s="0" t="str">
        <f aca="false">IF(AND($J16&gt;0,$K16="",$A16&lt;&gt;""),SUMPRODUCT(($J$2:$J$600&gt;0)*($K$2:$K$600="")*($A$2:$A$600&lt;&gt;"")*((IF($G$2:$G$600="",99999999,$G$2:$G$600))&lt;IF($G16="",99999999,$G16)))+SUMPRODUCT(($J$2:$J16&gt;0)*($K$2:$K16="")*($A$2:$A16&lt;&gt;"")*((IF($G$2:$G16="",99999999,$G$2:$G16))=IF($G16="",99999999,$G16))),"")</f>
        <v/>
      </c>
      <c r="O16" s="0" t="str">
        <f aca="false">IF(AND($F16="Not Started",$A16&lt;&gt;""),SUMPRODUCT(($F$2:$F$600="Not Started")*($A$2:$A$600&lt;&gt;"")*((IF($G$2:$G$600="",99999999,$G$2:$G$600))&lt;IF($G16="",99999999,$G16)))+SUMPRODUCT(($F$2:$F16="Not Started")*($A$2:$A16&lt;&gt;"")*((IF($G$2:$G16="",99999999,$G$2:$G16))=IF($G16="",99999999,$G16))),"")</f>
        <v/>
      </c>
      <c r="P16" s="0" t="str">
        <f aca="false">IF(AND(OR($F16="In Progress",$F16="Pending Client Data",$F16="Under Review"),$A16&lt;&gt;""),SUMPRODUCT((($F$2:$F$600="In Progress")+($F$2:$F$600="Pending Client Data")+($F$2:$F$600="Under Review"))*($A$2:$A$600&lt;&gt;"")*((IF($G$2:$G$600="",99999999,$G$2:$G$600))&lt;IF($G16="",99999999,$G16)))+SUMPRODUCT((($F$2:$F16="In Progress")+($F$2:$F16="Pending Client Data")+($F$2:$F16="Under Review"))*($A$2:$A16&lt;&gt;"")*((IF($G$2:$G16="",99999999,$G$2:$G16))=IF($G16="",99999999,$G16))),"")</f>
        <v/>
      </c>
    </row>
    <row r="17" customFormat="false" ht="15" hidden="false" customHeight="false" outlineLevel="0" collapsed="false">
      <c r="A17" s="9"/>
      <c r="B17" s="9"/>
      <c r="C17" s="10" t="str">
        <f aca="false">IF($B17="","",IFERROR(INDEX('Client Master'!$C:$C,MATCH($B17,'Client Master'!$B:$B,0)),"Code not found"))</f>
        <v/>
      </c>
      <c r="D17" s="9"/>
      <c r="E17" s="9"/>
      <c r="F17" s="9"/>
      <c r="G17" s="11"/>
      <c r="H17" s="11"/>
      <c r="I17" s="9"/>
      <c r="J17" s="12"/>
      <c r="K17" s="11"/>
      <c r="L17" s="9"/>
      <c r="N17" s="0" t="str">
        <f aca="false">IF(AND($J17&gt;0,$K17="",$A17&lt;&gt;""),SUMPRODUCT(($J$2:$J$600&gt;0)*($K$2:$K$600="")*($A$2:$A$600&lt;&gt;"")*((IF($G$2:$G$600="",99999999,$G$2:$G$600))&lt;IF($G17="",99999999,$G17)))+SUMPRODUCT(($J$2:$J17&gt;0)*($K$2:$K17="")*($A$2:$A17&lt;&gt;"")*((IF($G$2:$G17="",99999999,$G$2:$G17))=IF($G17="",99999999,$G17))),"")</f>
        <v/>
      </c>
      <c r="O17" s="0" t="str">
        <f aca="false">IF(AND($F17="Not Started",$A17&lt;&gt;""),SUMPRODUCT(($F$2:$F$600="Not Started")*($A$2:$A$600&lt;&gt;"")*((IF($G$2:$G$600="",99999999,$G$2:$G$600))&lt;IF($G17="",99999999,$G17)))+SUMPRODUCT(($F$2:$F17="Not Started")*($A$2:$A17&lt;&gt;"")*((IF($G$2:$G17="",99999999,$G$2:$G17))=IF($G17="",99999999,$G17))),"")</f>
        <v/>
      </c>
      <c r="P17" s="0" t="str">
        <f aca="false">IF(AND(OR($F17="In Progress",$F17="Pending Client Data",$F17="Under Review"),$A17&lt;&gt;""),SUMPRODUCT((($F$2:$F$600="In Progress")+($F$2:$F$600="Pending Client Data")+($F$2:$F$600="Under Review"))*($A$2:$A$600&lt;&gt;"")*((IF($G$2:$G$600="",99999999,$G$2:$G$600))&lt;IF($G17="",99999999,$G17)))+SUMPRODUCT((($F$2:$F17="In Progress")+($F$2:$F17="Pending Client Data")+($F$2:$F17="Under Review"))*($A$2:$A17&lt;&gt;"")*((IF($G$2:$G17="",99999999,$G$2:$G17))=IF($G17="",99999999,$G17))),"")</f>
        <v/>
      </c>
    </row>
    <row r="18" customFormat="false" ht="15" hidden="false" customHeight="false" outlineLevel="0" collapsed="false">
      <c r="A18" s="9"/>
      <c r="B18" s="9"/>
      <c r="C18" s="10" t="str">
        <f aca="false">IF($B18="","",IFERROR(INDEX('Client Master'!$C:$C,MATCH($B18,'Client Master'!$B:$B,0)),"Code not found"))</f>
        <v/>
      </c>
      <c r="D18" s="9"/>
      <c r="E18" s="9"/>
      <c r="F18" s="9"/>
      <c r="G18" s="11"/>
      <c r="H18" s="11"/>
      <c r="I18" s="9"/>
      <c r="J18" s="12"/>
      <c r="K18" s="11"/>
      <c r="L18" s="9"/>
      <c r="N18" s="0" t="str">
        <f aca="false">IF(AND($J18&gt;0,$K18="",$A18&lt;&gt;""),SUMPRODUCT(($J$2:$J$600&gt;0)*($K$2:$K$600="")*($A$2:$A$600&lt;&gt;"")*((IF($G$2:$G$600="",99999999,$G$2:$G$600))&lt;IF($G18="",99999999,$G18)))+SUMPRODUCT(($J$2:$J18&gt;0)*($K$2:$K18="")*($A$2:$A18&lt;&gt;"")*((IF($G$2:$G18="",99999999,$G$2:$G18))=IF($G18="",99999999,$G18))),"")</f>
        <v/>
      </c>
      <c r="O18" s="0" t="str">
        <f aca="false">IF(AND($F18="Not Started",$A18&lt;&gt;""),SUMPRODUCT(($F$2:$F$600="Not Started")*($A$2:$A$600&lt;&gt;"")*((IF($G$2:$G$600="",99999999,$G$2:$G$600))&lt;IF($G18="",99999999,$G18)))+SUMPRODUCT(($F$2:$F18="Not Started")*($A$2:$A18&lt;&gt;"")*((IF($G$2:$G18="",99999999,$G$2:$G18))=IF($G18="",99999999,$G18))),"")</f>
        <v/>
      </c>
      <c r="P18" s="0" t="str">
        <f aca="false">IF(AND(OR($F18="In Progress",$F18="Pending Client Data",$F18="Under Review"),$A18&lt;&gt;""),SUMPRODUCT((($F$2:$F$600="In Progress")+($F$2:$F$600="Pending Client Data")+($F$2:$F$600="Under Review"))*($A$2:$A$600&lt;&gt;"")*((IF($G$2:$G$600="",99999999,$G$2:$G$600))&lt;IF($G18="",99999999,$G18)))+SUMPRODUCT((($F$2:$F18="In Progress")+($F$2:$F18="Pending Client Data")+($F$2:$F18="Under Review"))*($A$2:$A18&lt;&gt;"")*((IF($G$2:$G18="",99999999,$G$2:$G18))=IF($G18="",99999999,$G18))),"")</f>
        <v/>
      </c>
    </row>
    <row r="19" customFormat="false" ht="15" hidden="false" customHeight="false" outlineLevel="0" collapsed="false">
      <c r="A19" s="9"/>
      <c r="B19" s="9"/>
      <c r="C19" s="10" t="str">
        <f aca="false">IF($B19="","",IFERROR(INDEX('Client Master'!$C:$C,MATCH($B19,'Client Master'!$B:$B,0)),"Code not found"))</f>
        <v/>
      </c>
      <c r="D19" s="9"/>
      <c r="E19" s="9"/>
      <c r="F19" s="9"/>
      <c r="G19" s="11"/>
      <c r="H19" s="11"/>
      <c r="I19" s="9"/>
      <c r="J19" s="12"/>
      <c r="K19" s="11"/>
      <c r="L19" s="9"/>
      <c r="N19" s="0" t="str">
        <f aca="false">IF(AND($J19&gt;0,$K19="",$A19&lt;&gt;""),SUMPRODUCT(($J$2:$J$600&gt;0)*($K$2:$K$600="")*($A$2:$A$600&lt;&gt;"")*((IF($G$2:$G$600="",99999999,$G$2:$G$600))&lt;IF($G19="",99999999,$G19)))+SUMPRODUCT(($J$2:$J19&gt;0)*($K$2:$K19="")*($A$2:$A19&lt;&gt;"")*((IF($G$2:$G19="",99999999,$G$2:$G19))=IF($G19="",99999999,$G19))),"")</f>
        <v/>
      </c>
      <c r="O19" s="0" t="str">
        <f aca="false">IF(AND($F19="Not Started",$A19&lt;&gt;""),SUMPRODUCT(($F$2:$F$600="Not Started")*($A$2:$A$600&lt;&gt;"")*((IF($G$2:$G$600="",99999999,$G$2:$G$600))&lt;IF($G19="",99999999,$G19)))+SUMPRODUCT(($F$2:$F19="Not Started")*($A$2:$A19&lt;&gt;"")*((IF($G$2:$G19="",99999999,$G$2:$G19))=IF($G19="",99999999,$G19))),"")</f>
        <v/>
      </c>
      <c r="P19" s="0" t="str">
        <f aca="false">IF(AND(OR($F19="In Progress",$F19="Pending Client Data",$F19="Under Review"),$A19&lt;&gt;""),SUMPRODUCT((($F$2:$F$600="In Progress")+($F$2:$F$600="Pending Client Data")+($F$2:$F$600="Under Review"))*($A$2:$A$600&lt;&gt;"")*((IF($G$2:$G$600="",99999999,$G$2:$G$600))&lt;IF($G19="",99999999,$G19)))+SUMPRODUCT((($F$2:$F19="In Progress")+($F$2:$F19="Pending Client Data")+($F$2:$F19="Under Review"))*($A$2:$A19&lt;&gt;"")*((IF($G$2:$G19="",99999999,$G$2:$G19))=IF($G19="",99999999,$G19))),"")</f>
        <v/>
      </c>
    </row>
    <row r="20" customFormat="false" ht="15" hidden="false" customHeight="false" outlineLevel="0" collapsed="false">
      <c r="A20" s="9"/>
      <c r="B20" s="9"/>
      <c r="C20" s="10" t="str">
        <f aca="false">IF($B20="","",IFERROR(INDEX('Client Master'!$C:$C,MATCH($B20,'Client Master'!$B:$B,0)),"Code not found"))</f>
        <v/>
      </c>
      <c r="D20" s="9"/>
      <c r="E20" s="9"/>
      <c r="F20" s="9"/>
      <c r="G20" s="11"/>
      <c r="H20" s="11"/>
      <c r="I20" s="9"/>
      <c r="J20" s="12"/>
      <c r="K20" s="11"/>
      <c r="L20" s="9"/>
      <c r="N20" s="0" t="str">
        <f aca="false">IF(AND($J20&gt;0,$K20="",$A20&lt;&gt;""),SUMPRODUCT(($J$2:$J$600&gt;0)*($K$2:$K$600="")*($A$2:$A$600&lt;&gt;"")*((IF($G$2:$G$600="",99999999,$G$2:$G$600))&lt;IF($G20="",99999999,$G20)))+SUMPRODUCT(($J$2:$J20&gt;0)*($K$2:$K20="")*($A$2:$A20&lt;&gt;"")*((IF($G$2:$G20="",99999999,$G$2:$G20))=IF($G20="",99999999,$G20))),"")</f>
        <v/>
      </c>
      <c r="O20" s="0" t="str">
        <f aca="false">IF(AND($F20="Not Started",$A20&lt;&gt;""),SUMPRODUCT(($F$2:$F$600="Not Started")*($A$2:$A$600&lt;&gt;"")*((IF($G$2:$G$600="",99999999,$G$2:$G$600))&lt;IF($G20="",99999999,$G20)))+SUMPRODUCT(($F$2:$F20="Not Started")*($A$2:$A20&lt;&gt;"")*((IF($G$2:$G20="",99999999,$G$2:$G20))=IF($G20="",99999999,$G20))),"")</f>
        <v/>
      </c>
      <c r="P20" s="0" t="str">
        <f aca="false">IF(AND(OR($F20="In Progress",$F20="Pending Client Data",$F20="Under Review"),$A20&lt;&gt;""),SUMPRODUCT((($F$2:$F$600="In Progress")+($F$2:$F$600="Pending Client Data")+($F$2:$F$600="Under Review"))*($A$2:$A$600&lt;&gt;"")*((IF($G$2:$G$600="",99999999,$G$2:$G$600))&lt;IF($G20="",99999999,$G20)))+SUMPRODUCT((($F$2:$F20="In Progress")+($F$2:$F20="Pending Client Data")+($F$2:$F20="Under Review"))*($A$2:$A20&lt;&gt;"")*((IF($G$2:$G20="",99999999,$G$2:$G20))=IF($G20="",99999999,$G20))),"")</f>
        <v/>
      </c>
    </row>
    <row r="21" customFormat="false" ht="15" hidden="false" customHeight="false" outlineLevel="0" collapsed="false">
      <c r="A21" s="9"/>
      <c r="B21" s="9"/>
      <c r="C21" s="10" t="str">
        <f aca="false">IF($B21="","",IFERROR(INDEX('Client Master'!$C:$C,MATCH($B21,'Client Master'!$B:$B,0)),"Code not found"))</f>
        <v/>
      </c>
      <c r="D21" s="9"/>
      <c r="E21" s="9"/>
      <c r="F21" s="9"/>
      <c r="G21" s="11"/>
      <c r="H21" s="11"/>
      <c r="I21" s="9"/>
      <c r="J21" s="12"/>
      <c r="K21" s="11"/>
      <c r="L21" s="9"/>
      <c r="N21" s="0" t="str">
        <f aca="false">IF(AND($J21&gt;0,$K21="",$A21&lt;&gt;""),SUMPRODUCT(($J$2:$J$600&gt;0)*($K$2:$K$600="")*($A$2:$A$600&lt;&gt;"")*((IF($G$2:$G$600="",99999999,$G$2:$G$600))&lt;IF($G21="",99999999,$G21)))+SUMPRODUCT(($J$2:$J21&gt;0)*($K$2:$K21="")*($A$2:$A21&lt;&gt;"")*((IF($G$2:$G21="",99999999,$G$2:$G21))=IF($G21="",99999999,$G21))),"")</f>
        <v/>
      </c>
      <c r="O21" s="0" t="str">
        <f aca="false">IF(AND($F21="Not Started",$A21&lt;&gt;""),SUMPRODUCT(($F$2:$F$600="Not Started")*($A$2:$A$600&lt;&gt;"")*((IF($G$2:$G$600="",99999999,$G$2:$G$600))&lt;IF($G21="",99999999,$G21)))+SUMPRODUCT(($F$2:$F21="Not Started")*($A$2:$A21&lt;&gt;"")*((IF($G$2:$G21="",99999999,$G$2:$G21))=IF($G21="",99999999,$G21))),"")</f>
        <v/>
      </c>
      <c r="P21" s="0" t="str">
        <f aca="false">IF(AND(OR($F21="In Progress",$F21="Pending Client Data",$F21="Under Review"),$A21&lt;&gt;""),SUMPRODUCT((($F$2:$F$600="In Progress")+($F$2:$F$600="Pending Client Data")+($F$2:$F$600="Under Review"))*($A$2:$A$600&lt;&gt;"")*((IF($G$2:$G$600="",99999999,$G$2:$G$600))&lt;IF($G21="",99999999,$G21)))+SUMPRODUCT((($F$2:$F21="In Progress")+($F$2:$F21="Pending Client Data")+($F$2:$F21="Under Review"))*($A$2:$A21&lt;&gt;"")*((IF($G$2:$G21="",99999999,$G$2:$G21))=IF($G21="",99999999,$G21))),"")</f>
        <v/>
      </c>
    </row>
    <row r="22" customFormat="false" ht="15" hidden="false" customHeight="false" outlineLevel="0" collapsed="false">
      <c r="A22" s="9"/>
      <c r="B22" s="9"/>
      <c r="C22" s="10" t="str">
        <f aca="false">IF($B22="","",IFERROR(INDEX('Client Master'!$C:$C,MATCH($B22,'Client Master'!$B:$B,0)),"Code not found"))</f>
        <v/>
      </c>
      <c r="D22" s="9"/>
      <c r="E22" s="9"/>
      <c r="F22" s="9"/>
      <c r="G22" s="11"/>
      <c r="H22" s="11"/>
      <c r="I22" s="9"/>
      <c r="J22" s="12"/>
      <c r="K22" s="11"/>
      <c r="L22" s="9"/>
      <c r="N22" s="0" t="str">
        <f aca="false">IF(AND($J22&gt;0,$K22="",$A22&lt;&gt;""),SUMPRODUCT(($J$2:$J$600&gt;0)*($K$2:$K$600="")*($A$2:$A$600&lt;&gt;"")*((IF($G$2:$G$600="",99999999,$G$2:$G$600))&lt;IF($G22="",99999999,$G22)))+SUMPRODUCT(($J$2:$J22&gt;0)*($K$2:$K22="")*($A$2:$A22&lt;&gt;"")*((IF($G$2:$G22="",99999999,$G$2:$G22))=IF($G22="",99999999,$G22))),"")</f>
        <v/>
      </c>
      <c r="O22" s="0" t="str">
        <f aca="false">IF(AND($F22="Not Started",$A22&lt;&gt;""),SUMPRODUCT(($F$2:$F$600="Not Started")*($A$2:$A$600&lt;&gt;"")*((IF($G$2:$G$600="",99999999,$G$2:$G$600))&lt;IF($G22="",99999999,$G22)))+SUMPRODUCT(($F$2:$F22="Not Started")*($A$2:$A22&lt;&gt;"")*((IF($G$2:$G22="",99999999,$G$2:$G22))=IF($G22="",99999999,$G22))),"")</f>
        <v/>
      </c>
      <c r="P22" s="0" t="str">
        <f aca="false">IF(AND(OR($F22="In Progress",$F22="Pending Client Data",$F22="Under Review"),$A22&lt;&gt;""),SUMPRODUCT((($F$2:$F$600="In Progress")+($F$2:$F$600="Pending Client Data")+($F$2:$F$600="Under Review"))*($A$2:$A$600&lt;&gt;"")*((IF($G$2:$G$600="",99999999,$G$2:$G$600))&lt;IF($G22="",99999999,$G22)))+SUMPRODUCT((($F$2:$F22="In Progress")+($F$2:$F22="Pending Client Data")+($F$2:$F22="Under Review"))*($A$2:$A22&lt;&gt;"")*((IF($G$2:$G22="",99999999,$G$2:$G22))=IF($G22="",99999999,$G22))),"")</f>
        <v/>
      </c>
    </row>
    <row r="23" customFormat="false" ht="15" hidden="false" customHeight="false" outlineLevel="0" collapsed="false">
      <c r="A23" s="9"/>
      <c r="B23" s="9"/>
      <c r="C23" s="10" t="str">
        <f aca="false">IF($B23="","",IFERROR(INDEX('Client Master'!$C:$C,MATCH($B23,'Client Master'!$B:$B,0)),"Code not found"))</f>
        <v/>
      </c>
      <c r="D23" s="9"/>
      <c r="E23" s="9"/>
      <c r="F23" s="9"/>
      <c r="G23" s="11"/>
      <c r="H23" s="11"/>
      <c r="I23" s="9"/>
      <c r="J23" s="12"/>
      <c r="K23" s="11"/>
      <c r="L23" s="9"/>
      <c r="N23" s="0" t="str">
        <f aca="false">IF(AND($J23&gt;0,$K23="",$A23&lt;&gt;""),SUMPRODUCT(($J$2:$J$600&gt;0)*($K$2:$K$600="")*($A$2:$A$600&lt;&gt;"")*((IF($G$2:$G$600="",99999999,$G$2:$G$600))&lt;IF($G23="",99999999,$G23)))+SUMPRODUCT(($J$2:$J23&gt;0)*($K$2:$K23="")*($A$2:$A23&lt;&gt;"")*((IF($G$2:$G23="",99999999,$G$2:$G23))=IF($G23="",99999999,$G23))),"")</f>
        <v/>
      </c>
      <c r="O23" s="0" t="str">
        <f aca="false">IF(AND($F23="Not Started",$A23&lt;&gt;""),SUMPRODUCT(($F$2:$F$600="Not Started")*($A$2:$A$600&lt;&gt;"")*((IF($G$2:$G$600="",99999999,$G$2:$G$600))&lt;IF($G23="",99999999,$G23)))+SUMPRODUCT(($F$2:$F23="Not Started")*($A$2:$A23&lt;&gt;"")*((IF($G$2:$G23="",99999999,$G$2:$G23))=IF($G23="",99999999,$G23))),"")</f>
        <v/>
      </c>
      <c r="P23" s="0" t="str">
        <f aca="false">IF(AND(OR($F23="In Progress",$F23="Pending Client Data",$F23="Under Review"),$A23&lt;&gt;""),SUMPRODUCT((($F$2:$F$600="In Progress")+($F$2:$F$600="Pending Client Data")+($F$2:$F$600="Under Review"))*($A$2:$A$600&lt;&gt;"")*((IF($G$2:$G$600="",99999999,$G$2:$G$600))&lt;IF($G23="",99999999,$G23)))+SUMPRODUCT((($F$2:$F23="In Progress")+($F$2:$F23="Pending Client Data")+($F$2:$F23="Under Review"))*($A$2:$A23&lt;&gt;"")*((IF($G$2:$G23="",99999999,$G$2:$G23))=IF($G23="",99999999,$G23))),"")</f>
        <v/>
      </c>
    </row>
    <row r="24" customFormat="false" ht="15" hidden="false" customHeight="false" outlineLevel="0" collapsed="false">
      <c r="A24" s="9"/>
      <c r="B24" s="9"/>
      <c r="C24" s="10" t="str">
        <f aca="false">IF($B24="","",IFERROR(INDEX('Client Master'!$C:$C,MATCH($B24,'Client Master'!$B:$B,0)),"Code not found"))</f>
        <v/>
      </c>
      <c r="D24" s="9"/>
      <c r="E24" s="9"/>
      <c r="F24" s="9"/>
      <c r="G24" s="11"/>
      <c r="H24" s="11"/>
      <c r="I24" s="9"/>
      <c r="J24" s="12"/>
      <c r="K24" s="11"/>
      <c r="L24" s="9"/>
      <c r="N24" s="0" t="str">
        <f aca="false">IF(AND($J24&gt;0,$K24="",$A24&lt;&gt;""),SUMPRODUCT(($J$2:$J$600&gt;0)*($K$2:$K$600="")*($A$2:$A$600&lt;&gt;"")*((IF($G$2:$G$600="",99999999,$G$2:$G$600))&lt;IF($G24="",99999999,$G24)))+SUMPRODUCT(($J$2:$J24&gt;0)*($K$2:$K24="")*($A$2:$A24&lt;&gt;"")*((IF($G$2:$G24="",99999999,$G$2:$G24))=IF($G24="",99999999,$G24))),"")</f>
        <v/>
      </c>
      <c r="O24" s="0" t="str">
        <f aca="false">IF(AND($F24="Not Started",$A24&lt;&gt;""),SUMPRODUCT(($F$2:$F$600="Not Started")*($A$2:$A$600&lt;&gt;"")*((IF($G$2:$G$600="",99999999,$G$2:$G$600))&lt;IF($G24="",99999999,$G24)))+SUMPRODUCT(($F$2:$F24="Not Started")*($A$2:$A24&lt;&gt;"")*((IF($G$2:$G24="",99999999,$G$2:$G24))=IF($G24="",99999999,$G24))),"")</f>
        <v/>
      </c>
      <c r="P24" s="0" t="str">
        <f aca="false">IF(AND(OR($F24="In Progress",$F24="Pending Client Data",$F24="Under Review"),$A24&lt;&gt;""),SUMPRODUCT((($F$2:$F$600="In Progress")+($F$2:$F$600="Pending Client Data")+($F$2:$F$600="Under Review"))*($A$2:$A$600&lt;&gt;"")*((IF($G$2:$G$600="",99999999,$G$2:$G$600))&lt;IF($G24="",99999999,$G24)))+SUMPRODUCT((($F$2:$F24="In Progress")+($F$2:$F24="Pending Client Data")+($F$2:$F24="Under Review"))*($A$2:$A24&lt;&gt;"")*((IF($G$2:$G24="",99999999,$G$2:$G24))=IF($G24="",99999999,$G24))),"")</f>
        <v/>
      </c>
    </row>
    <row r="25" customFormat="false" ht="15" hidden="false" customHeight="false" outlineLevel="0" collapsed="false">
      <c r="A25" s="9"/>
      <c r="B25" s="9"/>
      <c r="C25" s="10" t="str">
        <f aca="false">IF($B25="","",IFERROR(INDEX('Client Master'!$C:$C,MATCH($B25,'Client Master'!$B:$B,0)),"Code not found"))</f>
        <v/>
      </c>
      <c r="D25" s="9"/>
      <c r="E25" s="9"/>
      <c r="F25" s="9"/>
      <c r="G25" s="11"/>
      <c r="H25" s="11"/>
      <c r="I25" s="9"/>
      <c r="J25" s="12"/>
      <c r="K25" s="11"/>
      <c r="L25" s="9"/>
      <c r="N25" s="0" t="str">
        <f aca="false">IF(AND($J25&gt;0,$K25="",$A25&lt;&gt;""),SUMPRODUCT(($J$2:$J$600&gt;0)*($K$2:$K$600="")*($A$2:$A$600&lt;&gt;"")*((IF($G$2:$G$600="",99999999,$G$2:$G$600))&lt;IF($G25="",99999999,$G25)))+SUMPRODUCT(($J$2:$J25&gt;0)*($K$2:$K25="")*($A$2:$A25&lt;&gt;"")*((IF($G$2:$G25="",99999999,$G$2:$G25))=IF($G25="",99999999,$G25))),"")</f>
        <v/>
      </c>
      <c r="O25" s="0" t="str">
        <f aca="false">IF(AND($F25="Not Started",$A25&lt;&gt;""),SUMPRODUCT(($F$2:$F$600="Not Started")*($A$2:$A$600&lt;&gt;"")*((IF($G$2:$G$600="",99999999,$G$2:$G$600))&lt;IF($G25="",99999999,$G25)))+SUMPRODUCT(($F$2:$F25="Not Started")*($A$2:$A25&lt;&gt;"")*((IF($G$2:$G25="",99999999,$G$2:$G25))=IF($G25="",99999999,$G25))),"")</f>
        <v/>
      </c>
      <c r="P25" s="0" t="str">
        <f aca="false">IF(AND(OR($F25="In Progress",$F25="Pending Client Data",$F25="Under Review"),$A25&lt;&gt;""),SUMPRODUCT((($F$2:$F$600="In Progress")+($F$2:$F$600="Pending Client Data")+($F$2:$F$600="Under Review"))*($A$2:$A$600&lt;&gt;"")*((IF($G$2:$G$600="",99999999,$G$2:$G$600))&lt;IF($G25="",99999999,$G25)))+SUMPRODUCT((($F$2:$F25="In Progress")+($F$2:$F25="Pending Client Data")+($F$2:$F25="Under Review"))*($A$2:$A25&lt;&gt;"")*((IF($G$2:$G25="",99999999,$G$2:$G25))=IF($G25="",99999999,$G25))),"")</f>
        <v/>
      </c>
    </row>
    <row r="26" customFormat="false" ht="15" hidden="false" customHeight="false" outlineLevel="0" collapsed="false">
      <c r="A26" s="9"/>
      <c r="B26" s="9"/>
      <c r="C26" s="10" t="str">
        <f aca="false">IF($B26="","",IFERROR(INDEX('Client Master'!$C:$C,MATCH($B26,'Client Master'!$B:$B,0)),"Code not found"))</f>
        <v/>
      </c>
      <c r="D26" s="9"/>
      <c r="E26" s="9"/>
      <c r="F26" s="9"/>
      <c r="G26" s="11"/>
      <c r="H26" s="11"/>
      <c r="I26" s="9"/>
      <c r="J26" s="12"/>
      <c r="K26" s="11"/>
      <c r="L26" s="9"/>
      <c r="N26" s="0" t="str">
        <f aca="false">IF(AND($J26&gt;0,$K26="",$A26&lt;&gt;""),SUMPRODUCT(($J$2:$J$600&gt;0)*($K$2:$K$600="")*($A$2:$A$600&lt;&gt;"")*((IF($G$2:$G$600="",99999999,$G$2:$G$600))&lt;IF($G26="",99999999,$G26)))+SUMPRODUCT(($J$2:$J26&gt;0)*($K$2:$K26="")*($A$2:$A26&lt;&gt;"")*((IF($G$2:$G26="",99999999,$G$2:$G26))=IF($G26="",99999999,$G26))),"")</f>
        <v/>
      </c>
      <c r="O26" s="0" t="str">
        <f aca="false">IF(AND($F26="Not Started",$A26&lt;&gt;""),SUMPRODUCT(($F$2:$F$600="Not Started")*($A$2:$A$600&lt;&gt;"")*((IF($G$2:$G$600="",99999999,$G$2:$G$600))&lt;IF($G26="",99999999,$G26)))+SUMPRODUCT(($F$2:$F26="Not Started")*($A$2:$A26&lt;&gt;"")*((IF($G$2:$G26="",99999999,$G$2:$G26))=IF($G26="",99999999,$G26))),"")</f>
        <v/>
      </c>
      <c r="P26" s="0" t="str">
        <f aca="false">IF(AND(OR($F26="In Progress",$F26="Pending Client Data",$F26="Under Review"),$A26&lt;&gt;""),SUMPRODUCT((($F$2:$F$600="In Progress")+($F$2:$F$600="Pending Client Data")+($F$2:$F$600="Under Review"))*($A$2:$A$600&lt;&gt;"")*((IF($G$2:$G$600="",99999999,$G$2:$G$600))&lt;IF($G26="",99999999,$G26)))+SUMPRODUCT((($F$2:$F26="In Progress")+($F$2:$F26="Pending Client Data")+($F$2:$F26="Under Review"))*($A$2:$A26&lt;&gt;"")*((IF($G$2:$G26="",99999999,$G$2:$G26))=IF($G26="",99999999,$G26))),"")</f>
        <v/>
      </c>
    </row>
    <row r="27" customFormat="false" ht="15" hidden="false" customHeight="false" outlineLevel="0" collapsed="false">
      <c r="A27" s="9"/>
      <c r="B27" s="9"/>
      <c r="C27" s="10" t="str">
        <f aca="false">IF($B27="","",IFERROR(INDEX('Client Master'!$C:$C,MATCH($B27,'Client Master'!$B:$B,0)),"Code not found"))</f>
        <v/>
      </c>
      <c r="D27" s="9"/>
      <c r="E27" s="9"/>
      <c r="F27" s="9"/>
      <c r="G27" s="11"/>
      <c r="H27" s="11"/>
      <c r="I27" s="9"/>
      <c r="J27" s="12"/>
      <c r="K27" s="11"/>
      <c r="L27" s="9"/>
      <c r="N27" s="0" t="str">
        <f aca="false">IF(AND($J27&gt;0,$K27="",$A27&lt;&gt;""),SUMPRODUCT(($J$2:$J$600&gt;0)*($K$2:$K$600="")*($A$2:$A$600&lt;&gt;"")*((IF($G$2:$G$600="",99999999,$G$2:$G$600))&lt;IF($G27="",99999999,$G27)))+SUMPRODUCT(($J$2:$J27&gt;0)*($K$2:$K27="")*($A$2:$A27&lt;&gt;"")*((IF($G$2:$G27="",99999999,$G$2:$G27))=IF($G27="",99999999,$G27))),"")</f>
        <v/>
      </c>
      <c r="O27" s="0" t="str">
        <f aca="false">IF(AND($F27="Not Started",$A27&lt;&gt;""),SUMPRODUCT(($F$2:$F$600="Not Started")*($A$2:$A$600&lt;&gt;"")*((IF($G$2:$G$600="",99999999,$G$2:$G$600))&lt;IF($G27="",99999999,$G27)))+SUMPRODUCT(($F$2:$F27="Not Started")*($A$2:$A27&lt;&gt;"")*((IF($G$2:$G27="",99999999,$G$2:$G27))=IF($G27="",99999999,$G27))),"")</f>
        <v/>
      </c>
      <c r="P27" s="0" t="str">
        <f aca="false">IF(AND(OR($F27="In Progress",$F27="Pending Client Data",$F27="Under Review"),$A27&lt;&gt;""),SUMPRODUCT((($F$2:$F$600="In Progress")+($F$2:$F$600="Pending Client Data")+($F$2:$F$600="Under Review"))*($A$2:$A$600&lt;&gt;"")*((IF($G$2:$G$600="",99999999,$G$2:$G$600))&lt;IF($G27="",99999999,$G27)))+SUMPRODUCT((($F$2:$F27="In Progress")+($F$2:$F27="Pending Client Data")+($F$2:$F27="Under Review"))*($A$2:$A27&lt;&gt;"")*((IF($G$2:$G27="",99999999,$G$2:$G27))=IF($G27="",99999999,$G27))),"")</f>
        <v/>
      </c>
    </row>
    <row r="28" customFormat="false" ht="15" hidden="false" customHeight="false" outlineLevel="0" collapsed="false">
      <c r="A28" s="9"/>
      <c r="B28" s="9"/>
      <c r="C28" s="10" t="str">
        <f aca="false">IF($B28="","",IFERROR(INDEX('Client Master'!$C:$C,MATCH($B28,'Client Master'!$B:$B,0)),"Code not found"))</f>
        <v/>
      </c>
      <c r="D28" s="9"/>
      <c r="E28" s="9"/>
      <c r="F28" s="9"/>
      <c r="G28" s="11"/>
      <c r="H28" s="11"/>
      <c r="I28" s="9"/>
      <c r="J28" s="12"/>
      <c r="K28" s="11"/>
      <c r="L28" s="9"/>
      <c r="N28" s="0" t="str">
        <f aca="false">IF(AND($J28&gt;0,$K28="",$A28&lt;&gt;""),SUMPRODUCT(($J$2:$J$600&gt;0)*($K$2:$K$600="")*($A$2:$A$600&lt;&gt;"")*((IF($G$2:$G$600="",99999999,$G$2:$G$600))&lt;IF($G28="",99999999,$G28)))+SUMPRODUCT(($J$2:$J28&gt;0)*($K$2:$K28="")*($A$2:$A28&lt;&gt;"")*((IF($G$2:$G28="",99999999,$G$2:$G28))=IF($G28="",99999999,$G28))),"")</f>
        <v/>
      </c>
      <c r="O28" s="0" t="str">
        <f aca="false">IF(AND($F28="Not Started",$A28&lt;&gt;""),SUMPRODUCT(($F$2:$F$600="Not Started")*($A$2:$A$600&lt;&gt;"")*((IF($G$2:$G$600="",99999999,$G$2:$G$600))&lt;IF($G28="",99999999,$G28)))+SUMPRODUCT(($F$2:$F28="Not Started")*($A$2:$A28&lt;&gt;"")*((IF($G$2:$G28="",99999999,$G$2:$G28))=IF($G28="",99999999,$G28))),"")</f>
        <v/>
      </c>
      <c r="P28" s="0" t="str">
        <f aca="false">IF(AND(OR($F28="In Progress",$F28="Pending Client Data",$F28="Under Review"),$A28&lt;&gt;""),SUMPRODUCT((($F$2:$F$600="In Progress")+($F$2:$F$600="Pending Client Data")+($F$2:$F$600="Under Review"))*($A$2:$A$600&lt;&gt;"")*((IF($G$2:$G$600="",99999999,$G$2:$G$600))&lt;IF($G28="",99999999,$G28)))+SUMPRODUCT((($F$2:$F28="In Progress")+($F$2:$F28="Pending Client Data")+($F$2:$F28="Under Review"))*($A$2:$A28&lt;&gt;"")*((IF($G$2:$G28="",99999999,$G$2:$G28))=IF($G28="",99999999,$G28))),"")</f>
        <v/>
      </c>
    </row>
    <row r="29" customFormat="false" ht="15" hidden="false" customHeight="false" outlineLevel="0" collapsed="false">
      <c r="A29" s="9"/>
      <c r="B29" s="9"/>
      <c r="C29" s="10" t="str">
        <f aca="false">IF($B29="","",IFERROR(INDEX('Client Master'!$C:$C,MATCH($B29,'Client Master'!$B:$B,0)),"Code not found"))</f>
        <v/>
      </c>
      <c r="D29" s="9"/>
      <c r="E29" s="9"/>
      <c r="F29" s="9"/>
      <c r="G29" s="11"/>
      <c r="H29" s="11"/>
      <c r="I29" s="9"/>
      <c r="J29" s="12"/>
      <c r="K29" s="11"/>
      <c r="L29" s="9"/>
      <c r="N29" s="0" t="str">
        <f aca="false">IF(AND($J29&gt;0,$K29="",$A29&lt;&gt;""),SUMPRODUCT(($J$2:$J$600&gt;0)*($K$2:$K$600="")*($A$2:$A$600&lt;&gt;"")*((IF($G$2:$G$600="",99999999,$G$2:$G$600))&lt;IF($G29="",99999999,$G29)))+SUMPRODUCT(($J$2:$J29&gt;0)*($K$2:$K29="")*($A$2:$A29&lt;&gt;"")*((IF($G$2:$G29="",99999999,$G$2:$G29))=IF($G29="",99999999,$G29))),"")</f>
        <v/>
      </c>
      <c r="O29" s="0" t="str">
        <f aca="false">IF(AND($F29="Not Started",$A29&lt;&gt;""),SUMPRODUCT(($F$2:$F$600="Not Started")*($A$2:$A$600&lt;&gt;"")*((IF($G$2:$G$600="",99999999,$G$2:$G$600))&lt;IF($G29="",99999999,$G29)))+SUMPRODUCT(($F$2:$F29="Not Started")*($A$2:$A29&lt;&gt;"")*((IF($G$2:$G29="",99999999,$G$2:$G29))=IF($G29="",99999999,$G29))),"")</f>
        <v/>
      </c>
      <c r="P29" s="0" t="str">
        <f aca="false">IF(AND(OR($F29="In Progress",$F29="Pending Client Data",$F29="Under Review"),$A29&lt;&gt;""),SUMPRODUCT((($F$2:$F$600="In Progress")+($F$2:$F$600="Pending Client Data")+($F$2:$F$600="Under Review"))*($A$2:$A$600&lt;&gt;"")*((IF($G$2:$G$600="",99999999,$G$2:$G$600))&lt;IF($G29="",99999999,$G29)))+SUMPRODUCT((($F$2:$F29="In Progress")+($F$2:$F29="Pending Client Data")+($F$2:$F29="Under Review"))*($A$2:$A29&lt;&gt;"")*((IF($G$2:$G29="",99999999,$G$2:$G29))=IF($G29="",99999999,$G29))),"")</f>
        <v/>
      </c>
    </row>
    <row r="30" customFormat="false" ht="15" hidden="false" customHeight="false" outlineLevel="0" collapsed="false">
      <c r="A30" s="9"/>
      <c r="B30" s="9"/>
      <c r="C30" s="10" t="str">
        <f aca="false">IF($B30="","",IFERROR(INDEX('Client Master'!$C:$C,MATCH($B30,'Client Master'!$B:$B,0)),"Code not found"))</f>
        <v/>
      </c>
      <c r="D30" s="9"/>
      <c r="E30" s="9"/>
      <c r="F30" s="9"/>
      <c r="G30" s="11"/>
      <c r="H30" s="11"/>
      <c r="I30" s="9"/>
      <c r="J30" s="12"/>
      <c r="K30" s="11"/>
      <c r="L30" s="9"/>
      <c r="N30" s="0" t="str">
        <f aca="false">IF(AND($J30&gt;0,$K30="",$A30&lt;&gt;""),SUMPRODUCT(($J$2:$J$600&gt;0)*($K$2:$K$600="")*($A$2:$A$600&lt;&gt;"")*((IF($G$2:$G$600="",99999999,$G$2:$G$600))&lt;IF($G30="",99999999,$G30)))+SUMPRODUCT(($J$2:$J30&gt;0)*($K$2:$K30="")*($A$2:$A30&lt;&gt;"")*((IF($G$2:$G30="",99999999,$G$2:$G30))=IF($G30="",99999999,$G30))),"")</f>
        <v/>
      </c>
      <c r="O30" s="0" t="str">
        <f aca="false">IF(AND($F30="Not Started",$A30&lt;&gt;""),SUMPRODUCT(($F$2:$F$600="Not Started")*($A$2:$A$600&lt;&gt;"")*((IF($G$2:$G$600="",99999999,$G$2:$G$600))&lt;IF($G30="",99999999,$G30)))+SUMPRODUCT(($F$2:$F30="Not Started")*($A$2:$A30&lt;&gt;"")*((IF($G$2:$G30="",99999999,$G$2:$G30))=IF($G30="",99999999,$G30))),"")</f>
        <v/>
      </c>
      <c r="P30" s="0" t="str">
        <f aca="false">IF(AND(OR($F30="In Progress",$F30="Pending Client Data",$F30="Under Review"),$A30&lt;&gt;""),SUMPRODUCT((($F$2:$F$600="In Progress")+($F$2:$F$600="Pending Client Data")+($F$2:$F$600="Under Review"))*($A$2:$A$600&lt;&gt;"")*((IF($G$2:$G$600="",99999999,$G$2:$G$600))&lt;IF($G30="",99999999,$G30)))+SUMPRODUCT((($F$2:$F30="In Progress")+($F$2:$F30="Pending Client Data")+($F$2:$F30="Under Review"))*($A$2:$A30&lt;&gt;"")*((IF($G$2:$G30="",99999999,$G$2:$G30))=IF($G30="",99999999,$G30))),"")</f>
        <v/>
      </c>
    </row>
    <row r="31" customFormat="false" ht="15" hidden="false" customHeight="false" outlineLevel="0" collapsed="false">
      <c r="A31" s="9"/>
      <c r="B31" s="9"/>
      <c r="C31" s="10" t="str">
        <f aca="false">IF($B31="","",IFERROR(INDEX('Client Master'!$C:$C,MATCH($B31,'Client Master'!$B:$B,0)),"Code not found"))</f>
        <v/>
      </c>
      <c r="D31" s="9"/>
      <c r="E31" s="9"/>
      <c r="F31" s="9"/>
      <c r="G31" s="11"/>
      <c r="H31" s="11"/>
      <c r="I31" s="9"/>
      <c r="J31" s="12"/>
      <c r="K31" s="11"/>
      <c r="L31" s="9"/>
      <c r="N31" s="0" t="str">
        <f aca="false">IF(AND($J31&gt;0,$K31="",$A31&lt;&gt;""),SUMPRODUCT(($J$2:$J$600&gt;0)*($K$2:$K$600="")*($A$2:$A$600&lt;&gt;"")*((IF($G$2:$G$600="",99999999,$G$2:$G$600))&lt;IF($G31="",99999999,$G31)))+SUMPRODUCT(($J$2:$J31&gt;0)*($K$2:$K31="")*($A$2:$A31&lt;&gt;"")*((IF($G$2:$G31="",99999999,$G$2:$G31))=IF($G31="",99999999,$G31))),"")</f>
        <v/>
      </c>
      <c r="O31" s="0" t="str">
        <f aca="false">IF(AND($F31="Not Started",$A31&lt;&gt;""),SUMPRODUCT(($F$2:$F$600="Not Started")*($A$2:$A$600&lt;&gt;"")*((IF($G$2:$G$600="",99999999,$G$2:$G$600))&lt;IF($G31="",99999999,$G31)))+SUMPRODUCT(($F$2:$F31="Not Started")*($A$2:$A31&lt;&gt;"")*((IF($G$2:$G31="",99999999,$G$2:$G31))=IF($G31="",99999999,$G31))),"")</f>
        <v/>
      </c>
      <c r="P31" s="0" t="str">
        <f aca="false">IF(AND(OR($F31="In Progress",$F31="Pending Client Data",$F31="Under Review"),$A31&lt;&gt;""),SUMPRODUCT((($F$2:$F$600="In Progress")+($F$2:$F$600="Pending Client Data")+($F$2:$F$600="Under Review"))*($A$2:$A$600&lt;&gt;"")*((IF($G$2:$G$600="",99999999,$G$2:$G$600))&lt;IF($G31="",99999999,$G31)))+SUMPRODUCT((($F$2:$F31="In Progress")+($F$2:$F31="Pending Client Data")+($F$2:$F31="Under Review"))*($A$2:$A31&lt;&gt;"")*((IF($G$2:$G31="",99999999,$G$2:$G31))=IF($G31="",99999999,$G31))),"")</f>
        <v/>
      </c>
    </row>
    <row r="32" customFormat="false" ht="15" hidden="false" customHeight="false" outlineLevel="0" collapsed="false">
      <c r="A32" s="9"/>
      <c r="B32" s="9"/>
      <c r="C32" s="10" t="str">
        <f aca="false">IF($B32="","",IFERROR(INDEX('Client Master'!$C:$C,MATCH($B32,'Client Master'!$B:$B,0)),"Code not found"))</f>
        <v/>
      </c>
      <c r="D32" s="9"/>
      <c r="E32" s="9"/>
      <c r="F32" s="9"/>
      <c r="G32" s="11"/>
      <c r="H32" s="11"/>
      <c r="I32" s="9"/>
      <c r="J32" s="12"/>
      <c r="K32" s="11"/>
      <c r="L32" s="9"/>
      <c r="N32" s="0" t="str">
        <f aca="false">IF(AND($J32&gt;0,$K32="",$A32&lt;&gt;""),SUMPRODUCT(($J$2:$J$600&gt;0)*($K$2:$K$600="")*($A$2:$A$600&lt;&gt;"")*((IF($G$2:$G$600="",99999999,$G$2:$G$600))&lt;IF($G32="",99999999,$G32)))+SUMPRODUCT(($J$2:$J32&gt;0)*($K$2:$K32="")*($A$2:$A32&lt;&gt;"")*((IF($G$2:$G32="",99999999,$G$2:$G32))=IF($G32="",99999999,$G32))),"")</f>
        <v/>
      </c>
      <c r="O32" s="0" t="str">
        <f aca="false">IF(AND($F32="Not Started",$A32&lt;&gt;""),SUMPRODUCT(($F$2:$F$600="Not Started")*($A$2:$A$600&lt;&gt;"")*((IF($G$2:$G$600="",99999999,$G$2:$G$600))&lt;IF($G32="",99999999,$G32)))+SUMPRODUCT(($F$2:$F32="Not Started")*($A$2:$A32&lt;&gt;"")*((IF($G$2:$G32="",99999999,$G$2:$G32))=IF($G32="",99999999,$G32))),"")</f>
        <v/>
      </c>
      <c r="P32" s="0" t="str">
        <f aca="false">IF(AND(OR($F32="In Progress",$F32="Pending Client Data",$F32="Under Review"),$A32&lt;&gt;""),SUMPRODUCT((($F$2:$F$600="In Progress")+($F$2:$F$600="Pending Client Data")+($F$2:$F$600="Under Review"))*($A$2:$A$600&lt;&gt;"")*((IF($G$2:$G$600="",99999999,$G$2:$G$600))&lt;IF($G32="",99999999,$G32)))+SUMPRODUCT((($F$2:$F32="In Progress")+($F$2:$F32="Pending Client Data")+($F$2:$F32="Under Review"))*($A$2:$A32&lt;&gt;"")*((IF($G$2:$G32="",99999999,$G$2:$G32))=IF($G32="",99999999,$G32))),"")</f>
        <v/>
      </c>
    </row>
    <row r="33" customFormat="false" ht="15" hidden="false" customHeight="false" outlineLevel="0" collapsed="false">
      <c r="A33" s="9"/>
      <c r="B33" s="9"/>
      <c r="C33" s="10" t="str">
        <f aca="false">IF($B33="","",IFERROR(INDEX('Client Master'!$C:$C,MATCH($B33,'Client Master'!$B:$B,0)),"Code not found"))</f>
        <v/>
      </c>
      <c r="D33" s="9"/>
      <c r="E33" s="9"/>
      <c r="F33" s="9"/>
      <c r="G33" s="11"/>
      <c r="H33" s="11"/>
      <c r="I33" s="9"/>
      <c r="J33" s="12"/>
      <c r="K33" s="11"/>
      <c r="L33" s="9"/>
      <c r="N33" s="0" t="str">
        <f aca="false">IF(AND($J33&gt;0,$K33="",$A33&lt;&gt;""),SUMPRODUCT(($J$2:$J$600&gt;0)*($K$2:$K$600="")*($A$2:$A$600&lt;&gt;"")*((IF($G$2:$G$600="",99999999,$G$2:$G$600))&lt;IF($G33="",99999999,$G33)))+SUMPRODUCT(($J$2:$J33&gt;0)*($K$2:$K33="")*($A$2:$A33&lt;&gt;"")*((IF($G$2:$G33="",99999999,$G$2:$G33))=IF($G33="",99999999,$G33))),"")</f>
        <v/>
      </c>
      <c r="O33" s="0" t="str">
        <f aca="false">IF(AND($F33="Not Started",$A33&lt;&gt;""),SUMPRODUCT(($F$2:$F$600="Not Started")*($A$2:$A$600&lt;&gt;"")*((IF($G$2:$G$600="",99999999,$G$2:$G$600))&lt;IF($G33="",99999999,$G33)))+SUMPRODUCT(($F$2:$F33="Not Started")*($A$2:$A33&lt;&gt;"")*((IF($G$2:$G33="",99999999,$G$2:$G33))=IF($G33="",99999999,$G33))),"")</f>
        <v/>
      </c>
      <c r="P33" s="0" t="str">
        <f aca="false">IF(AND(OR($F33="In Progress",$F33="Pending Client Data",$F33="Under Review"),$A33&lt;&gt;""),SUMPRODUCT((($F$2:$F$600="In Progress")+($F$2:$F$600="Pending Client Data")+($F$2:$F$600="Under Review"))*($A$2:$A$600&lt;&gt;"")*((IF($G$2:$G$600="",99999999,$G$2:$G$600))&lt;IF($G33="",99999999,$G33)))+SUMPRODUCT((($F$2:$F33="In Progress")+($F$2:$F33="Pending Client Data")+($F$2:$F33="Under Review"))*($A$2:$A33&lt;&gt;"")*((IF($G$2:$G33="",99999999,$G$2:$G33))=IF($G33="",99999999,$G33))),"")</f>
        <v/>
      </c>
    </row>
    <row r="34" customFormat="false" ht="15" hidden="false" customHeight="false" outlineLevel="0" collapsed="false">
      <c r="A34" s="9"/>
      <c r="B34" s="9"/>
      <c r="C34" s="10" t="str">
        <f aca="false">IF($B34="","",IFERROR(INDEX('Client Master'!$C:$C,MATCH($B34,'Client Master'!$B:$B,0)),"Code not found"))</f>
        <v/>
      </c>
      <c r="D34" s="9"/>
      <c r="E34" s="9"/>
      <c r="F34" s="9"/>
      <c r="G34" s="11"/>
      <c r="H34" s="11"/>
      <c r="I34" s="9"/>
      <c r="J34" s="12"/>
      <c r="K34" s="11"/>
      <c r="L34" s="9"/>
      <c r="N34" s="0" t="str">
        <f aca="false">IF(AND($J34&gt;0,$K34="",$A34&lt;&gt;""),SUMPRODUCT(($J$2:$J$600&gt;0)*($K$2:$K$600="")*($A$2:$A$600&lt;&gt;"")*((IF($G$2:$G$600="",99999999,$G$2:$G$600))&lt;IF($G34="",99999999,$G34)))+SUMPRODUCT(($J$2:$J34&gt;0)*($K$2:$K34="")*($A$2:$A34&lt;&gt;"")*((IF($G$2:$G34="",99999999,$G$2:$G34))=IF($G34="",99999999,$G34))),"")</f>
        <v/>
      </c>
      <c r="O34" s="0" t="str">
        <f aca="false">IF(AND($F34="Not Started",$A34&lt;&gt;""),SUMPRODUCT(($F$2:$F$600="Not Started")*($A$2:$A$600&lt;&gt;"")*((IF($G$2:$G$600="",99999999,$G$2:$G$600))&lt;IF($G34="",99999999,$G34)))+SUMPRODUCT(($F$2:$F34="Not Started")*($A$2:$A34&lt;&gt;"")*((IF($G$2:$G34="",99999999,$G$2:$G34))=IF($G34="",99999999,$G34))),"")</f>
        <v/>
      </c>
      <c r="P34" s="0" t="str">
        <f aca="false">IF(AND(OR($F34="In Progress",$F34="Pending Client Data",$F34="Under Review"),$A34&lt;&gt;""),SUMPRODUCT((($F$2:$F$600="In Progress")+($F$2:$F$600="Pending Client Data")+($F$2:$F$600="Under Review"))*($A$2:$A$600&lt;&gt;"")*((IF($G$2:$G$600="",99999999,$G$2:$G$600))&lt;IF($G34="",99999999,$G34)))+SUMPRODUCT((($F$2:$F34="In Progress")+($F$2:$F34="Pending Client Data")+($F$2:$F34="Under Review"))*($A$2:$A34&lt;&gt;"")*((IF($G$2:$G34="",99999999,$G$2:$G34))=IF($G34="",99999999,$G34))),"")</f>
        <v/>
      </c>
    </row>
    <row r="35" customFormat="false" ht="15" hidden="false" customHeight="false" outlineLevel="0" collapsed="false">
      <c r="A35" s="9"/>
      <c r="B35" s="9"/>
      <c r="C35" s="10" t="str">
        <f aca="false">IF($B35="","",IFERROR(INDEX('Client Master'!$C:$C,MATCH($B35,'Client Master'!$B:$B,0)),"Code not found"))</f>
        <v/>
      </c>
      <c r="D35" s="9"/>
      <c r="E35" s="9"/>
      <c r="F35" s="9"/>
      <c r="G35" s="11"/>
      <c r="H35" s="11"/>
      <c r="I35" s="9"/>
      <c r="J35" s="12"/>
      <c r="K35" s="11"/>
      <c r="L35" s="9"/>
      <c r="N35" s="0" t="str">
        <f aca="false">IF(AND($J35&gt;0,$K35="",$A35&lt;&gt;""),SUMPRODUCT(($J$2:$J$600&gt;0)*($K$2:$K$600="")*($A$2:$A$600&lt;&gt;"")*((IF($G$2:$G$600="",99999999,$G$2:$G$600))&lt;IF($G35="",99999999,$G35)))+SUMPRODUCT(($J$2:$J35&gt;0)*($K$2:$K35="")*($A$2:$A35&lt;&gt;"")*((IF($G$2:$G35="",99999999,$G$2:$G35))=IF($G35="",99999999,$G35))),"")</f>
        <v/>
      </c>
      <c r="O35" s="0" t="str">
        <f aca="false">IF(AND($F35="Not Started",$A35&lt;&gt;""),SUMPRODUCT(($F$2:$F$600="Not Started")*($A$2:$A$600&lt;&gt;"")*((IF($G$2:$G$600="",99999999,$G$2:$G$600))&lt;IF($G35="",99999999,$G35)))+SUMPRODUCT(($F$2:$F35="Not Started")*($A$2:$A35&lt;&gt;"")*((IF($G$2:$G35="",99999999,$G$2:$G35))=IF($G35="",99999999,$G35))),"")</f>
        <v/>
      </c>
      <c r="P35" s="0" t="str">
        <f aca="false">IF(AND(OR($F35="In Progress",$F35="Pending Client Data",$F35="Under Review"),$A35&lt;&gt;""),SUMPRODUCT((($F$2:$F$600="In Progress")+($F$2:$F$600="Pending Client Data")+($F$2:$F$600="Under Review"))*($A$2:$A$600&lt;&gt;"")*((IF($G$2:$G$600="",99999999,$G$2:$G$600))&lt;IF($G35="",99999999,$G35)))+SUMPRODUCT((($F$2:$F35="In Progress")+($F$2:$F35="Pending Client Data")+($F$2:$F35="Under Review"))*($A$2:$A35&lt;&gt;"")*((IF($G$2:$G35="",99999999,$G$2:$G35))=IF($G35="",99999999,$G35))),"")</f>
        <v/>
      </c>
    </row>
    <row r="36" customFormat="false" ht="15" hidden="false" customHeight="false" outlineLevel="0" collapsed="false">
      <c r="A36" s="9"/>
      <c r="B36" s="9"/>
      <c r="C36" s="10" t="str">
        <f aca="false">IF($B36="","",IFERROR(INDEX('Client Master'!$C:$C,MATCH($B36,'Client Master'!$B:$B,0)),"Code not found"))</f>
        <v/>
      </c>
      <c r="D36" s="9"/>
      <c r="E36" s="9"/>
      <c r="F36" s="9"/>
      <c r="G36" s="11"/>
      <c r="H36" s="11"/>
      <c r="I36" s="9"/>
      <c r="J36" s="12"/>
      <c r="K36" s="11"/>
      <c r="L36" s="9"/>
      <c r="N36" s="0" t="str">
        <f aca="false">IF(AND($J36&gt;0,$K36="",$A36&lt;&gt;""),SUMPRODUCT(($J$2:$J$600&gt;0)*($K$2:$K$600="")*($A$2:$A$600&lt;&gt;"")*((IF($G$2:$G$600="",99999999,$G$2:$G$600))&lt;IF($G36="",99999999,$G36)))+SUMPRODUCT(($J$2:$J36&gt;0)*($K$2:$K36="")*($A$2:$A36&lt;&gt;"")*((IF($G$2:$G36="",99999999,$G$2:$G36))=IF($G36="",99999999,$G36))),"")</f>
        <v/>
      </c>
      <c r="O36" s="0" t="str">
        <f aca="false">IF(AND($F36="Not Started",$A36&lt;&gt;""),SUMPRODUCT(($F$2:$F$600="Not Started")*($A$2:$A$600&lt;&gt;"")*((IF($G$2:$G$600="",99999999,$G$2:$G$600))&lt;IF($G36="",99999999,$G36)))+SUMPRODUCT(($F$2:$F36="Not Started")*($A$2:$A36&lt;&gt;"")*((IF($G$2:$G36="",99999999,$G$2:$G36))=IF($G36="",99999999,$G36))),"")</f>
        <v/>
      </c>
      <c r="P36" s="0" t="str">
        <f aca="false">IF(AND(OR($F36="In Progress",$F36="Pending Client Data",$F36="Under Review"),$A36&lt;&gt;""),SUMPRODUCT((($F$2:$F$600="In Progress")+($F$2:$F$600="Pending Client Data")+($F$2:$F$600="Under Review"))*($A$2:$A$600&lt;&gt;"")*((IF($G$2:$G$600="",99999999,$G$2:$G$600))&lt;IF($G36="",99999999,$G36)))+SUMPRODUCT((($F$2:$F36="In Progress")+($F$2:$F36="Pending Client Data")+($F$2:$F36="Under Review"))*($A$2:$A36&lt;&gt;"")*((IF($G$2:$G36="",99999999,$G$2:$G36))=IF($G36="",99999999,$G36))),"")</f>
        <v/>
      </c>
    </row>
    <row r="37" customFormat="false" ht="15" hidden="false" customHeight="false" outlineLevel="0" collapsed="false">
      <c r="A37" s="9"/>
      <c r="B37" s="9"/>
      <c r="C37" s="10" t="str">
        <f aca="false">IF($B37="","",IFERROR(INDEX('Client Master'!$C:$C,MATCH($B37,'Client Master'!$B:$B,0)),"Code not found"))</f>
        <v/>
      </c>
      <c r="D37" s="9"/>
      <c r="E37" s="9"/>
      <c r="F37" s="9"/>
      <c r="G37" s="11"/>
      <c r="H37" s="11"/>
      <c r="I37" s="9"/>
      <c r="J37" s="12"/>
      <c r="K37" s="11"/>
      <c r="L37" s="9"/>
      <c r="N37" s="0" t="str">
        <f aca="false">IF(AND($J37&gt;0,$K37="",$A37&lt;&gt;""),SUMPRODUCT(($J$2:$J$600&gt;0)*($K$2:$K$600="")*($A$2:$A$600&lt;&gt;"")*((IF($G$2:$G$600="",99999999,$G$2:$G$600))&lt;IF($G37="",99999999,$G37)))+SUMPRODUCT(($J$2:$J37&gt;0)*($K$2:$K37="")*($A$2:$A37&lt;&gt;"")*((IF($G$2:$G37="",99999999,$G$2:$G37))=IF($G37="",99999999,$G37))),"")</f>
        <v/>
      </c>
      <c r="O37" s="0" t="str">
        <f aca="false">IF(AND($F37="Not Started",$A37&lt;&gt;""),SUMPRODUCT(($F$2:$F$600="Not Started")*($A$2:$A$600&lt;&gt;"")*((IF($G$2:$G$600="",99999999,$G$2:$G$600))&lt;IF($G37="",99999999,$G37)))+SUMPRODUCT(($F$2:$F37="Not Started")*($A$2:$A37&lt;&gt;"")*((IF($G$2:$G37="",99999999,$G$2:$G37))=IF($G37="",99999999,$G37))),"")</f>
        <v/>
      </c>
      <c r="P37" s="0" t="str">
        <f aca="false">IF(AND(OR($F37="In Progress",$F37="Pending Client Data",$F37="Under Review"),$A37&lt;&gt;""),SUMPRODUCT((($F$2:$F$600="In Progress")+($F$2:$F$600="Pending Client Data")+($F$2:$F$600="Under Review"))*($A$2:$A$600&lt;&gt;"")*((IF($G$2:$G$600="",99999999,$G$2:$G$600))&lt;IF($G37="",99999999,$G37)))+SUMPRODUCT((($F$2:$F37="In Progress")+($F$2:$F37="Pending Client Data")+($F$2:$F37="Under Review"))*($A$2:$A37&lt;&gt;"")*((IF($G$2:$G37="",99999999,$G$2:$G37))=IF($G37="",99999999,$G37))),"")</f>
        <v/>
      </c>
    </row>
    <row r="38" customFormat="false" ht="15" hidden="false" customHeight="false" outlineLevel="0" collapsed="false">
      <c r="A38" s="9"/>
      <c r="B38" s="9"/>
      <c r="C38" s="10" t="str">
        <f aca="false">IF($B38="","",IFERROR(INDEX('Client Master'!$C:$C,MATCH($B38,'Client Master'!$B:$B,0)),"Code not found"))</f>
        <v/>
      </c>
      <c r="D38" s="9"/>
      <c r="E38" s="9"/>
      <c r="F38" s="9"/>
      <c r="G38" s="11"/>
      <c r="H38" s="11"/>
      <c r="I38" s="9"/>
      <c r="J38" s="12"/>
      <c r="K38" s="11"/>
      <c r="L38" s="9"/>
      <c r="N38" s="0" t="str">
        <f aca="false">IF(AND($J38&gt;0,$K38="",$A38&lt;&gt;""),SUMPRODUCT(($J$2:$J$600&gt;0)*($K$2:$K$600="")*($A$2:$A$600&lt;&gt;"")*((IF($G$2:$G$600="",99999999,$G$2:$G$600))&lt;IF($G38="",99999999,$G38)))+SUMPRODUCT(($J$2:$J38&gt;0)*($K$2:$K38="")*($A$2:$A38&lt;&gt;"")*((IF($G$2:$G38="",99999999,$G$2:$G38))=IF($G38="",99999999,$G38))),"")</f>
        <v/>
      </c>
      <c r="O38" s="0" t="str">
        <f aca="false">IF(AND($F38="Not Started",$A38&lt;&gt;""),SUMPRODUCT(($F$2:$F$600="Not Started")*($A$2:$A$600&lt;&gt;"")*((IF($G$2:$G$600="",99999999,$G$2:$G$600))&lt;IF($G38="",99999999,$G38)))+SUMPRODUCT(($F$2:$F38="Not Started")*($A$2:$A38&lt;&gt;"")*((IF($G$2:$G38="",99999999,$G$2:$G38))=IF($G38="",99999999,$G38))),"")</f>
        <v/>
      </c>
      <c r="P38" s="0" t="str">
        <f aca="false">IF(AND(OR($F38="In Progress",$F38="Pending Client Data",$F38="Under Review"),$A38&lt;&gt;""),SUMPRODUCT((($F$2:$F$600="In Progress")+($F$2:$F$600="Pending Client Data")+($F$2:$F$600="Under Review"))*($A$2:$A$600&lt;&gt;"")*((IF($G$2:$G$600="",99999999,$G$2:$G$600))&lt;IF($G38="",99999999,$G38)))+SUMPRODUCT((($F$2:$F38="In Progress")+($F$2:$F38="Pending Client Data")+($F$2:$F38="Under Review"))*($A$2:$A38&lt;&gt;"")*((IF($G$2:$G38="",99999999,$G$2:$G38))=IF($G38="",99999999,$G38))),"")</f>
        <v/>
      </c>
    </row>
    <row r="39" customFormat="false" ht="15" hidden="false" customHeight="false" outlineLevel="0" collapsed="false">
      <c r="A39" s="9"/>
      <c r="B39" s="9"/>
      <c r="C39" s="10" t="str">
        <f aca="false">IF($B39="","",IFERROR(INDEX('Client Master'!$C:$C,MATCH($B39,'Client Master'!$B:$B,0)),"Code not found"))</f>
        <v/>
      </c>
      <c r="D39" s="9"/>
      <c r="E39" s="9"/>
      <c r="F39" s="9"/>
      <c r="G39" s="11"/>
      <c r="H39" s="11"/>
      <c r="I39" s="9"/>
      <c r="J39" s="12"/>
      <c r="K39" s="11"/>
      <c r="L39" s="9"/>
      <c r="N39" s="0" t="str">
        <f aca="false">IF(AND($J39&gt;0,$K39="",$A39&lt;&gt;""),SUMPRODUCT(($J$2:$J$600&gt;0)*($K$2:$K$600="")*($A$2:$A$600&lt;&gt;"")*((IF($G$2:$G$600="",99999999,$G$2:$G$600))&lt;IF($G39="",99999999,$G39)))+SUMPRODUCT(($J$2:$J39&gt;0)*($K$2:$K39="")*($A$2:$A39&lt;&gt;"")*((IF($G$2:$G39="",99999999,$G$2:$G39))=IF($G39="",99999999,$G39))),"")</f>
        <v/>
      </c>
      <c r="O39" s="0" t="str">
        <f aca="false">IF(AND($F39="Not Started",$A39&lt;&gt;""),SUMPRODUCT(($F$2:$F$600="Not Started")*($A$2:$A$600&lt;&gt;"")*((IF($G$2:$G$600="",99999999,$G$2:$G$600))&lt;IF($G39="",99999999,$G39)))+SUMPRODUCT(($F$2:$F39="Not Started")*($A$2:$A39&lt;&gt;"")*((IF($G$2:$G39="",99999999,$G$2:$G39))=IF($G39="",99999999,$G39))),"")</f>
        <v/>
      </c>
      <c r="P39" s="0" t="str">
        <f aca="false">IF(AND(OR($F39="In Progress",$F39="Pending Client Data",$F39="Under Review"),$A39&lt;&gt;""),SUMPRODUCT((($F$2:$F$600="In Progress")+($F$2:$F$600="Pending Client Data")+($F$2:$F$600="Under Review"))*($A$2:$A$600&lt;&gt;"")*((IF($G$2:$G$600="",99999999,$G$2:$G$600))&lt;IF($G39="",99999999,$G39)))+SUMPRODUCT((($F$2:$F39="In Progress")+($F$2:$F39="Pending Client Data")+($F$2:$F39="Under Review"))*($A$2:$A39&lt;&gt;"")*((IF($G$2:$G39="",99999999,$G$2:$G39))=IF($G39="",99999999,$G39))),"")</f>
        <v/>
      </c>
    </row>
    <row r="40" customFormat="false" ht="15" hidden="false" customHeight="false" outlineLevel="0" collapsed="false">
      <c r="A40" s="9"/>
      <c r="B40" s="9"/>
      <c r="C40" s="10" t="str">
        <f aca="false">IF($B40="","",IFERROR(INDEX('Client Master'!$C:$C,MATCH($B40,'Client Master'!$B:$B,0)),"Code not found"))</f>
        <v/>
      </c>
      <c r="D40" s="9"/>
      <c r="E40" s="9"/>
      <c r="F40" s="9"/>
      <c r="G40" s="11"/>
      <c r="H40" s="11"/>
      <c r="I40" s="9"/>
      <c r="J40" s="12"/>
      <c r="K40" s="11"/>
      <c r="L40" s="9"/>
      <c r="N40" s="0" t="str">
        <f aca="false">IF(AND($J40&gt;0,$K40="",$A40&lt;&gt;""),SUMPRODUCT(($J$2:$J$600&gt;0)*($K$2:$K$600="")*($A$2:$A$600&lt;&gt;"")*((IF($G$2:$G$600="",99999999,$G$2:$G$600))&lt;IF($G40="",99999999,$G40)))+SUMPRODUCT(($J$2:$J40&gt;0)*($K$2:$K40="")*($A$2:$A40&lt;&gt;"")*((IF($G$2:$G40="",99999999,$G$2:$G40))=IF($G40="",99999999,$G40))),"")</f>
        <v/>
      </c>
      <c r="O40" s="0" t="str">
        <f aca="false">IF(AND($F40="Not Started",$A40&lt;&gt;""),SUMPRODUCT(($F$2:$F$600="Not Started")*($A$2:$A$600&lt;&gt;"")*((IF($G$2:$G$600="",99999999,$G$2:$G$600))&lt;IF($G40="",99999999,$G40)))+SUMPRODUCT(($F$2:$F40="Not Started")*($A$2:$A40&lt;&gt;"")*((IF($G$2:$G40="",99999999,$G$2:$G40))=IF($G40="",99999999,$G40))),"")</f>
        <v/>
      </c>
      <c r="P40" s="0" t="str">
        <f aca="false">IF(AND(OR($F40="In Progress",$F40="Pending Client Data",$F40="Under Review"),$A40&lt;&gt;""),SUMPRODUCT((($F$2:$F$600="In Progress")+($F$2:$F$600="Pending Client Data")+($F$2:$F$600="Under Review"))*($A$2:$A$600&lt;&gt;"")*((IF($G$2:$G$600="",99999999,$G$2:$G$600))&lt;IF($G40="",99999999,$G40)))+SUMPRODUCT((($F$2:$F40="In Progress")+($F$2:$F40="Pending Client Data")+($F$2:$F40="Under Review"))*($A$2:$A40&lt;&gt;"")*((IF($G$2:$G40="",99999999,$G$2:$G40))=IF($G40="",99999999,$G40))),"")</f>
        <v/>
      </c>
    </row>
    <row r="41" customFormat="false" ht="15" hidden="false" customHeight="false" outlineLevel="0" collapsed="false">
      <c r="A41" s="9"/>
      <c r="B41" s="9"/>
      <c r="C41" s="10" t="str">
        <f aca="false">IF($B41="","",IFERROR(INDEX('Client Master'!$C:$C,MATCH($B41,'Client Master'!$B:$B,0)),"Code not found"))</f>
        <v/>
      </c>
      <c r="D41" s="9"/>
      <c r="E41" s="9"/>
      <c r="F41" s="9"/>
      <c r="G41" s="11"/>
      <c r="H41" s="11"/>
      <c r="I41" s="9"/>
      <c r="J41" s="12"/>
      <c r="K41" s="11"/>
      <c r="L41" s="9"/>
      <c r="N41" s="0" t="str">
        <f aca="false">IF(AND($J41&gt;0,$K41="",$A41&lt;&gt;""),SUMPRODUCT(($J$2:$J$600&gt;0)*($K$2:$K$600="")*($A$2:$A$600&lt;&gt;"")*((IF($G$2:$G$600="",99999999,$G$2:$G$600))&lt;IF($G41="",99999999,$G41)))+SUMPRODUCT(($J$2:$J41&gt;0)*($K$2:$K41="")*($A$2:$A41&lt;&gt;"")*((IF($G$2:$G41="",99999999,$G$2:$G41))=IF($G41="",99999999,$G41))),"")</f>
        <v/>
      </c>
      <c r="O41" s="0" t="str">
        <f aca="false">IF(AND($F41="Not Started",$A41&lt;&gt;""),SUMPRODUCT(($F$2:$F$600="Not Started")*($A$2:$A$600&lt;&gt;"")*((IF($G$2:$G$600="",99999999,$G$2:$G$600))&lt;IF($G41="",99999999,$G41)))+SUMPRODUCT(($F$2:$F41="Not Started")*($A$2:$A41&lt;&gt;"")*((IF($G$2:$G41="",99999999,$G$2:$G41))=IF($G41="",99999999,$G41))),"")</f>
        <v/>
      </c>
      <c r="P41" s="0" t="str">
        <f aca="false">IF(AND(OR($F41="In Progress",$F41="Pending Client Data",$F41="Under Review"),$A41&lt;&gt;""),SUMPRODUCT((($F$2:$F$600="In Progress")+($F$2:$F$600="Pending Client Data")+($F$2:$F$600="Under Review"))*($A$2:$A$600&lt;&gt;"")*((IF($G$2:$G$600="",99999999,$G$2:$G$600))&lt;IF($G41="",99999999,$G41)))+SUMPRODUCT((($F$2:$F41="In Progress")+($F$2:$F41="Pending Client Data")+($F$2:$F41="Under Review"))*($A$2:$A41&lt;&gt;"")*((IF($G$2:$G41="",99999999,$G$2:$G41))=IF($G41="",99999999,$G41))),"")</f>
        <v/>
      </c>
    </row>
    <row r="42" customFormat="false" ht="15" hidden="false" customHeight="false" outlineLevel="0" collapsed="false">
      <c r="A42" s="9"/>
      <c r="B42" s="9"/>
      <c r="C42" s="10" t="str">
        <f aca="false">IF($B42="","",IFERROR(INDEX('Client Master'!$C:$C,MATCH($B42,'Client Master'!$B:$B,0)),"Code not found"))</f>
        <v/>
      </c>
      <c r="D42" s="9"/>
      <c r="E42" s="9"/>
      <c r="F42" s="9"/>
      <c r="G42" s="11"/>
      <c r="H42" s="11"/>
      <c r="I42" s="9"/>
      <c r="J42" s="12"/>
      <c r="K42" s="11"/>
      <c r="L42" s="9"/>
      <c r="N42" s="0" t="str">
        <f aca="false">IF(AND($J42&gt;0,$K42="",$A42&lt;&gt;""),SUMPRODUCT(($J$2:$J$600&gt;0)*($K$2:$K$600="")*($A$2:$A$600&lt;&gt;"")*((IF($G$2:$G$600="",99999999,$G$2:$G$600))&lt;IF($G42="",99999999,$G42)))+SUMPRODUCT(($J$2:$J42&gt;0)*($K$2:$K42="")*($A$2:$A42&lt;&gt;"")*((IF($G$2:$G42="",99999999,$G$2:$G42))=IF($G42="",99999999,$G42))),"")</f>
        <v/>
      </c>
      <c r="O42" s="0" t="str">
        <f aca="false">IF(AND($F42="Not Started",$A42&lt;&gt;""),SUMPRODUCT(($F$2:$F$600="Not Started")*($A$2:$A$600&lt;&gt;"")*((IF($G$2:$G$600="",99999999,$G$2:$G$600))&lt;IF($G42="",99999999,$G42)))+SUMPRODUCT(($F$2:$F42="Not Started")*($A$2:$A42&lt;&gt;"")*((IF($G$2:$G42="",99999999,$G$2:$G42))=IF($G42="",99999999,$G42))),"")</f>
        <v/>
      </c>
      <c r="P42" s="0" t="str">
        <f aca="false">IF(AND(OR($F42="In Progress",$F42="Pending Client Data",$F42="Under Review"),$A42&lt;&gt;""),SUMPRODUCT((($F$2:$F$600="In Progress")+($F$2:$F$600="Pending Client Data")+($F$2:$F$600="Under Review"))*($A$2:$A$600&lt;&gt;"")*((IF($G$2:$G$600="",99999999,$G$2:$G$600))&lt;IF($G42="",99999999,$G42)))+SUMPRODUCT((($F$2:$F42="In Progress")+($F$2:$F42="Pending Client Data")+($F$2:$F42="Under Review"))*($A$2:$A42&lt;&gt;"")*((IF($G$2:$G42="",99999999,$G$2:$G42))=IF($G42="",99999999,$G42))),"")</f>
        <v/>
      </c>
    </row>
    <row r="43" customFormat="false" ht="15" hidden="false" customHeight="false" outlineLevel="0" collapsed="false">
      <c r="A43" s="9"/>
      <c r="B43" s="9"/>
      <c r="C43" s="10" t="str">
        <f aca="false">IF($B43="","",IFERROR(INDEX('Client Master'!$C:$C,MATCH($B43,'Client Master'!$B:$B,0)),"Code not found"))</f>
        <v/>
      </c>
      <c r="D43" s="9"/>
      <c r="E43" s="9"/>
      <c r="F43" s="9"/>
      <c r="G43" s="11"/>
      <c r="H43" s="11"/>
      <c r="I43" s="9"/>
      <c r="J43" s="12"/>
      <c r="K43" s="11"/>
      <c r="L43" s="9"/>
      <c r="N43" s="0" t="str">
        <f aca="false">IF(AND($J43&gt;0,$K43="",$A43&lt;&gt;""),SUMPRODUCT(($J$2:$J$600&gt;0)*($K$2:$K$600="")*($A$2:$A$600&lt;&gt;"")*((IF($G$2:$G$600="",99999999,$G$2:$G$600))&lt;IF($G43="",99999999,$G43)))+SUMPRODUCT(($J$2:$J43&gt;0)*($K$2:$K43="")*($A$2:$A43&lt;&gt;"")*((IF($G$2:$G43="",99999999,$G$2:$G43))=IF($G43="",99999999,$G43))),"")</f>
        <v/>
      </c>
      <c r="O43" s="0" t="str">
        <f aca="false">IF(AND($F43="Not Started",$A43&lt;&gt;""),SUMPRODUCT(($F$2:$F$600="Not Started")*($A$2:$A$600&lt;&gt;"")*((IF($G$2:$G$600="",99999999,$G$2:$G$600))&lt;IF($G43="",99999999,$G43)))+SUMPRODUCT(($F$2:$F43="Not Started")*($A$2:$A43&lt;&gt;"")*((IF($G$2:$G43="",99999999,$G$2:$G43))=IF($G43="",99999999,$G43))),"")</f>
        <v/>
      </c>
      <c r="P43" s="0" t="str">
        <f aca="false">IF(AND(OR($F43="In Progress",$F43="Pending Client Data",$F43="Under Review"),$A43&lt;&gt;""),SUMPRODUCT((($F$2:$F$600="In Progress")+($F$2:$F$600="Pending Client Data")+($F$2:$F$600="Under Review"))*($A$2:$A$600&lt;&gt;"")*((IF($G$2:$G$600="",99999999,$G$2:$G$600))&lt;IF($G43="",99999999,$G43)))+SUMPRODUCT((($F$2:$F43="In Progress")+($F$2:$F43="Pending Client Data")+($F$2:$F43="Under Review"))*($A$2:$A43&lt;&gt;"")*((IF($G$2:$G43="",99999999,$G$2:$G43))=IF($G43="",99999999,$G43))),"")</f>
        <v/>
      </c>
    </row>
    <row r="44" customFormat="false" ht="15" hidden="false" customHeight="false" outlineLevel="0" collapsed="false">
      <c r="A44" s="9"/>
      <c r="B44" s="9"/>
      <c r="C44" s="10" t="str">
        <f aca="false">IF($B44="","",IFERROR(INDEX('Client Master'!$C:$C,MATCH($B44,'Client Master'!$B:$B,0)),"Code not found"))</f>
        <v/>
      </c>
      <c r="D44" s="9"/>
      <c r="E44" s="9"/>
      <c r="F44" s="9"/>
      <c r="G44" s="11"/>
      <c r="H44" s="11"/>
      <c r="I44" s="9"/>
      <c r="J44" s="12"/>
      <c r="K44" s="11"/>
      <c r="L44" s="9"/>
      <c r="N44" s="0" t="str">
        <f aca="false">IF(AND($J44&gt;0,$K44="",$A44&lt;&gt;""),SUMPRODUCT(($J$2:$J$600&gt;0)*($K$2:$K$600="")*($A$2:$A$600&lt;&gt;"")*((IF($G$2:$G$600="",99999999,$G$2:$G$600))&lt;IF($G44="",99999999,$G44)))+SUMPRODUCT(($J$2:$J44&gt;0)*($K$2:$K44="")*($A$2:$A44&lt;&gt;"")*((IF($G$2:$G44="",99999999,$G$2:$G44))=IF($G44="",99999999,$G44))),"")</f>
        <v/>
      </c>
      <c r="O44" s="0" t="str">
        <f aca="false">IF(AND($F44="Not Started",$A44&lt;&gt;""),SUMPRODUCT(($F$2:$F$600="Not Started")*($A$2:$A$600&lt;&gt;"")*((IF($G$2:$G$600="",99999999,$G$2:$G$600))&lt;IF($G44="",99999999,$G44)))+SUMPRODUCT(($F$2:$F44="Not Started")*($A$2:$A44&lt;&gt;"")*((IF($G$2:$G44="",99999999,$G$2:$G44))=IF($G44="",99999999,$G44))),"")</f>
        <v/>
      </c>
      <c r="P44" s="0" t="str">
        <f aca="false">IF(AND(OR($F44="In Progress",$F44="Pending Client Data",$F44="Under Review"),$A44&lt;&gt;""),SUMPRODUCT((($F$2:$F$600="In Progress")+($F$2:$F$600="Pending Client Data")+($F$2:$F$600="Under Review"))*($A$2:$A$600&lt;&gt;"")*((IF($G$2:$G$600="",99999999,$G$2:$G$600))&lt;IF($G44="",99999999,$G44)))+SUMPRODUCT((($F$2:$F44="In Progress")+($F$2:$F44="Pending Client Data")+($F$2:$F44="Under Review"))*($A$2:$A44&lt;&gt;"")*((IF($G$2:$G44="",99999999,$G$2:$G44))=IF($G44="",99999999,$G44))),"")</f>
        <v/>
      </c>
    </row>
    <row r="45" customFormat="false" ht="15" hidden="false" customHeight="false" outlineLevel="0" collapsed="false">
      <c r="A45" s="9"/>
      <c r="B45" s="9"/>
      <c r="C45" s="10" t="str">
        <f aca="false">IF($B45="","",IFERROR(INDEX('Client Master'!$C:$C,MATCH($B45,'Client Master'!$B:$B,0)),"Code not found"))</f>
        <v/>
      </c>
      <c r="D45" s="9"/>
      <c r="E45" s="9"/>
      <c r="F45" s="9"/>
      <c r="G45" s="11"/>
      <c r="H45" s="11"/>
      <c r="I45" s="9"/>
      <c r="J45" s="12"/>
      <c r="K45" s="11"/>
      <c r="L45" s="9"/>
      <c r="N45" s="0" t="str">
        <f aca="false">IF(AND($J45&gt;0,$K45="",$A45&lt;&gt;""),SUMPRODUCT(($J$2:$J$600&gt;0)*($K$2:$K$600="")*($A$2:$A$600&lt;&gt;"")*((IF($G$2:$G$600="",99999999,$G$2:$G$600))&lt;IF($G45="",99999999,$G45)))+SUMPRODUCT(($J$2:$J45&gt;0)*($K$2:$K45="")*($A$2:$A45&lt;&gt;"")*((IF($G$2:$G45="",99999999,$G$2:$G45))=IF($G45="",99999999,$G45))),"")</f>
        <v/>
      </c>
      <c r="O45" s="0" t="str">
        <f aca="false">IF(AND($F45="Not Started",$A45&lt;&gt;""),SUMPRODUCT(($F$2:$F$600="Not Started")*($A$2:$A$600&lt;&gt;"")*((IF($G$2:$G$600="",99999999,$G$2:$G$600))&lt;IF($G45="",99999999,$G45)))+SUMPRODUCT(($F$2:$F45="Not Started")*($A$2:$A45&lt;&gt;"")*((IF($G$2:$G45="",99999999,$G$2:$G45))=IF($G45="",99999999,$G45))),"")</f>
        <v/>
      </c>
      <c r="P45" s="0" t="str">
        <f aca="false">IF(AND(OR($F45="In Progress",$F45="Pending Client Data",$F45="Under Review"),$A45&lt;&gt;""),SUMPRODUCT((($F$2:$F$600="In Progress")+($F$2:$F$600="Pending Client Data")+($F$2:$F$600="Under Review"))*($A$2:$A$600&lt;&gt;"")*((IF($G$2:$G$600="",99999999,$G$2:$G$600))&lt;IF($G45="",99999999,$G45)))+SUMPRODUCT((($F$2:$F45="In Progress")+($F$2:$F45="Pending Client Data")+($F$2:$F45="Under Review"))*($A$2:$A45&lt;&gt;"")*((IF($G$2:$G45="",99999999,$G$2:$G45))=IF($G45="",99999999,$G45))),"")</f>
        <v/>
      </c>
    </row>
    <row r="46" customFormat="false" ht="15" hidden="false" customHeight="false" outlineLevel="0" collapsed="false">
      <c r="A46" s="9"/>
      <c r="B46" s="9"/>
      <c r="C46" s="10" t="str">
        <f aca="false">IF($B46="","",IFERROR(INDEX('Client Master'!$C:$C,MATCH($B46,'Client Master'!$B:$B,0)),"Code not found"))</f>
        <v/>
      </c>
      <c r="D46" s="9"/>
      <c r="E46" s="9"/>
      <c r="F46" s="9"/>
      <c r="G46" s="11"/>
      <c r="H46" s="11"/>
      <c r="I46" s="9"/>
      <c r="J46" s="12"/>
      <c r="K46" s="11"/>
      <c r="L46" s="9"/>
      <c r="N46" s="0" t="str">
        <f aca="false">IF(AND($J46&gt;0,$K46="",$A46&lt;&gt;""),SUMPRODUCT(($J$2:$J$600&gt;0)*($K$2:$K$600="")*($A$2:$A$600&lt;&gt;"")*((IF($G$2:$G$600="",99999999,$G$2:$G$600))&lt;IF($G46="",99999999,$G46)))+SUMPRODUCT(($J$2:$J46&gt;0)*($K$2:$K46="")*($A$2:$A46&lt;&gt;"")*((IF($G$2:$G46="",99999999,$G$2:$G46))=IF($G46="",99999999,$G46))),"")</f>
        <v/>
      </c>
      <c r="O46" s="0" t="str">
        <f aca="false">IF(AND($F46="Not Started",$A46&lt;&gt;""),SUMPRODUCT(($F$2:$F$600="Not Started")*($A$2:$A$600&lt;&gt;"")*((IF($G$2:$G$600="",99999999,$G$2:$G$600))&lt;IF($G46="",99999999,$G46)))+SUMPRODUCT(($F$2:$F46="Not Started")*($A$2:$A46&lt;&gt;"")*((IF($G$2:$G46="",99999999,$G$2:$G46))=IF($G46="",99999999,$G46))),"")</f>
        <v/>
      </c>
      <c r="P46" s="0" t="str">
        <f aca="false">IF(AND(OR($F46="In Progress",$F46="Pending Client Data",$F46="Under Review"),$A46&lt;&gt;""),SUMPRODUCT((($F$2:$F$600="In Progress")+($F$2:$F$600="Pending Client Data")+($F$2:$F$600="Under Review"))*($A$2:$A$600&lt;&gt;"")*((IF($G$2:$G$600="",99999999,$G$2:$G$600))&lt;IF($G46="",99999999,$G46)))+SUMPRODUCT((($F$2:$F46="In Progress")+($F$2:$F46="Pending Client Data")+($F$2:$F46="Under Review"))*($A$2:$A46&lt;&gt;"")*((IF($G$2:$G46="",99999999,$G$2:$G46))=IF($G46="",99999999,$G46))),"")</f>
        <v/>
      </c>
    </row>
    <row r="47" customFormat="false" ht="15" hidden="false" customHeight="false" outlineLevel="0" collapsed="false">
      <c r="A47" s="9"/>
      <c r="B47" s="9"/>
      <c r="C47" s="10" t="str">
        <f aca="false">IF($B47="","",IFERROR(INDEX('Client Master'!$C:$C,MATCH($B47,'Client Master'!$B:$B,0)),"Code not found"))</f>
        <v/>
      </c>
      <c r="D47" s="9"/>
      <c r="E47" s="9"/>
      <c r="F47" s="9"/>
      <c r="G47" s="11"/>
      <c r="H47" s="11"/>
      <c r="I47" s="9"/>
      <c r="J47" s="12"/>
      <c r="K47" s="11"/>
      <c r="L47" s="9"/>
      <c r="N47" s="0" t="str">
        <f aca="false">IF(AND($J47&gt;0,$K47="",$A47&lt;&gt;""),SUMPRODUCT(($J$2:$J$600&gt;0)*($K$2:$K$600="")*($A$2:$A$600&lt;&gt;"")*((IF($G$2:$G$600="",99999999,$G$2:$G$600))&lt;IF($G47="",99999999,$G47)))+SUMPRODUCT(($J$2:$J47&gt;0)*($K$2:$K47="")*($A$2:$A47&lt;&gt;"")*((IF($G$2:$G47="",99999999,$G$2:$G47))=IF($G47="",99999999,$G47))),"")</f>
        <v/>
      </c>
      <c r="O47" s="0" t="str">
        <f aca="false">IF(AND($F47="Not Started",$A47&lt;&gt;""),SUMPRODUCT(($F$2:$F$600="Not Started")*($A$2:$A$600&lt;&gt;"")*((IF($G$2:$G$600="",99999999,$G$2:$G$600))&lt;IF($G47="",99999999,$G47)))+SUMPRODUCT(($F$2:$F47="Not Started")*($A$2:$A47&lt;&gt;"")*((IF($G$2:$G47="",99999999,$G$2:$G47))=IF($G47="",99999999,$G47))),"")</f>
        <v/>
      </c>
      <c r="P47" s="0" t="str">
        <f aca="false">IF(AND(OR($F47="In Progress",$F47="Pending Client Data",$F47="Under Review"),$A47&lt;&gt;""),SUMPRODUCT((($F$2:$F$600="In Progress")+($F$2:$F$600="Pending Client Data")+($F$2:$F$600="Under Review"))*($A$2:$A$600&lt;&gt;"")*((IF($G$2:$G$600="",99999999,$G$2:$G$600))&lt;IF($G47="",99999999,$G47)))+SUMPRODUCT((($F$2:$F47="In Progress")+($F$2:$F47="Pending Client Data")+($F$2:$F47="Under Review"))*($A$2:$A47&lt;&gt;"")*((IF($G$2:$G47="",99999999,$G$2:$G47))=IF($G47="",99999999,$G47))),"")</f>
        <v/>
      </c>
    </row>
    <row r="48" customFormat="false" ht="15" hidden="false" customHeight="false" outlineLevel="0" collapsed="false">
      <c r="A48" s="9"/>
      <c r="B48" s="9"/>
      <c r="C48" s="10" t="str">
        <f aca="false">IF($B48="","",IFERROR(INDEX('Client Master'!$C:$C,MATCH($B48,'Client Master'!$B:$B,0)),"Code not found"))</f>
        <v/>
      </c>
      <c r="D48" s="9"/>
      <c r="E48" s="9"/>
      <c r="F48" s="9"/>
      <c r="G48" s="11"/>
      <c r="H48" s="11"/>
      <c r="I48" s="9"/>
      <c r="J48" s="12"/>
      <c r="K48" s="11"/>
      <c r="L48" s="9"/>
      <c r="N48" s="0" t="str">
        <f aca="false">IF(AND($J48&gt;0,$K48="",$A48&lt;&gt;""),SUMPRODUCT(($J$2:$J$600&gt;0)*($K$2:$K$600="")*($A$2:$A$600&lt;&gt;"")*((IF($G$2:$G$600="",99999999,$G$2:$G$600))&lt;IF($G48="",99999999,$G48)))+SUMPRODUCT(($J$2:$J48&gt;0)*($K$2:$K48="")*($A$2:$A48&lt;&gt;"")*((IF($G$2:$G48="",99999999,$G$2:$G48))=IF($G48="",99999999,$G48))),"")</f>
        <v/>
      </c>
      <c r="O48" s="0" t="str">
        <f aca="false">IF(AND($F48="Not Started",$A48&lt;&gt;""),SUMPRODUCT(($F$2:$F$600="Not Started")*($A$2:$A$600&lt;&gt;"")*((IF($G$2:$G$600="",99999999,$G$2:$G$600))&lt;IF($G48="",99999999,$G48)))+SUMPRODUCT(($F$2:$F48="Not Started")*($A$2:$A48&lt;&gt;"")*((IF($G$2:$G48="",99999999,$G$2:$G48))=IF($G48="",99999999,$G48))),"")</f>
        <v/>
      </c>
      <c r="P48" s="0" t="str">
        <f aca="false">IF(AND(OR($F48="In Progress",$F48="Pending Client Data",$F48="Under Review"),$A48&lt;&gt;""),SUMPRODUCT((($F$2:$F$600="In Progress")+($F$2:$F$600="Pending Client Data")+($F$2:$F$600="Under Review"))*($A$2:$A$600&lt;&gt;"")*((IF($G$2:$G$600="",99999999,$G$2:$G$600))&lt;IF($G48="",99999999,$G48)))+SUMPRODUCT((($F$2:$F48="In Progress")+($F$2:$F48="Pending Client Data")+($F$2:$F48="Under Review"))*($A$2:$A48&lt;&gt;"")*((IF($G$2:$G48="",99999999,$G$2:$G48))=IF($G48="",99999999,$G48))),"")</f>
        <v/>
      </c>
    </row>
    <row r="49" customFormat="false" ht="15" hidden="false" customHeight="false" outlineLevel="0" collapsed="false">
      <c r="A49" s="9"/>
      <c r="B49" s="9"/>
      <c r="C49" s="10" t="str">
        <f aca="false">IF($B49="","",IFERROR(INDEX('Client Master'!$C:$C,MATCH($B49,'Client Master'!$B:$B,0)),"Code not found"))</f>
        <v/>
      </c>
      <c r="D49" s="9"/>
      <c r="E49" s="9"/>
      <c r="F49" s="9"/>
      <c r="G49" s="11"/>
      <c r="H49" s="11"/>
      <c r="I49" s="9"/>
      <c r="J49" s="12"/>
      <c r="K49" s="11"/>
      <c r="L49" s="9"/>
      <c r="N49" s="0" t="str">
        <f aca="false">IF(AND($J49&gt;0,$K49="",$A49&lt;&gt;""),SUMPRODUCT(($J$2:$J$600&gt;0)*($K$2:$K$600="")*($A$2:$A$600&lt;&gt;"")*((IF($G$2:$G$600="",99999999,$G$2:$G$600))&lt;IF($G49="",99999999,$G49)))+SUMPRODUCT(($J$2:$J49&gt;0)*($K$2:$K49="")*($A$2:$A49&lt;&gt;"")*((IF($G$2:$G49="",99999999,$G$2:$G49))=IF($G49="",99999999,$G49))),"")</f>
        <v/>
      </c>
      <c r="O49" s="0" t="str">
        <f aca="false">IF(AND($F49="Not Started",$A49&lt;&gt;""),SUMPRODUCT(($F$2:$F$600="Not Started")*($A$2:$A$600&lt;&gt;"")*((IF($G$2:$G$600="",99999999,$G$2:$G$600))&lt;IF($G49="",99999999,$G49)))+SUMPRODUCT(($F$2:$F49="Not Started")*($A$2:$A49&lt;&gt;"")*((IF($G$2:$G49="",99999999,$G$2:$G49))=IF($G49="",99999999,$G49))),"")</f>
        <v/>
      </c>
      <c r="P49" s="0" t="str">
        <f aca="false">IF(AND(OR($F49="In Progress",$F49="Pending Client Data",$F49="Under Review"),$A49&lt;&gt;""),SUMPRODUCT((($F$2:$F$600="In Progress")+($F$2:$F$600="Pending Client Data")+($F$2:$F$600="Under Review"))*($A$2:$A$600&lt;&gt;"")*((IF($G$2:$G$600="",99999999,$G$2:$G$600))&lt;IF($G49="",99999999,$G49)))+SUMPRODUCT((($F$2:$F49="In Progress")+($F$2:$F49="Pending Client Data")+($F$2:$F49="Under Review"))*($A$2:$A49&lt;&gt;"")*((IF($G$2:$G49="",99999999,$G$2:$G49))=IF($G49="",99999999,$G49))),"")</f>
        <v/>
      </c>
    </row>
    <row r="50" customFormat="false" ht="15" hidden="false" customHeight="false" outlineLevel="0" collapsed="false">
      <c r="A50" s="9"/>
      <c r="B50" s="9"/>
      <c r="C50" s="10" t="str">
        <f aca="false">IF($B50="","",IFERROR(INDEX('Client Master'!$C:$C,MATCH($B50,'Client Master'!$B:$B,0)),"Code not found"))</f>
        <v/>
      </c>
      <c r="D50" s="9"/>
      <c r="E50" s="9"/>
      <c r="F50" s="9"/>
      <c r="G50" s="11"/>
      <c r="H50" s="11"/>
      <c r="I50" s="9"/>
      <c r="J50" s="12"/>
      <c r="K50" s="11"/>
      <c r="L50" s="9"/>
      <c r="N50" s="0" t="str">
        <f aca="false">IF(AND($J50&gt;0,$K50="",$A50&lt;&gt;""),SUMPRODUCT(($J$2:$J$600&gt;0)*($K$2:$K$600="")*($A$2:$A$600&lt;&gt;"")*((IF($G$2:$G$600="",99999999,$G$2:$G$600))&lt;IF($G50="",99999999,$G50)))+SUMPRODUCT(($J$2:$J50&gt;0)*($K$2:$K50="")*($A$2:$A50&lt;&gt;"")*((IF($G$2:$G50="",99999999,$G$2:$G50))=IF($G50="",99999999,$G50))),"")</f>
        <v/>
      </c>
      <c r="O50" s="0" t="str">
        <f aca="false">IF(AND($F50="Not Started",$A50&lt;&gt;""),SUMPRODUCT(($F$2:$F$600="Not Started")*($A$2:$A$600&lt;&gt;"")*((IF($G$2:$G$600="",99999999,$G$2:$G$600))&lt;IF($G50="",99999999,$G50)))+SUMPRODUCT(($F$2:$F50="Not Started")*($A$2:$A50&lt;&gt;"")*((IF($G$2:$G50="",99999999,$G$2:$G50))=IF($G50="",99999999,$G50))),"")</f>
        <v/>
      </c>
      <c r="P50" s="0" t="str">
        <f aca="false">IF(AND(OR($F50="In Progress",$F50="Pending Client Data",$F50="Under Review"),$A50&lt;&gt;""),SUMPRODUCT((($F$2:$F$600="In Progress")+($F$2:$F$600="Pending Client Data")+($F$2:$F$600="Under Review"))*($A$2:$A$600&lt;&gt;"")*((IF($G$2:$G$600="",99999999,$G$2:$G$600))&lt;IF($G50="",99999999,$G50)))+SUMPRODUCT((($F$2:$F50="In Progress")+($F$2:$F50="Pending Client Data")+($F$2:$F50="Under Review"))*($A$2:$A50&lt;&gt;"")*((IF($G$2:$G50="",99999999,$G$2:$G50))=IF($G50="",99999999,$G50))),"")</f>
        <v/>
      </c>
    </row>
    <row r="51" customFormat="false" ht="15" hidden="false" customHeight="false" outlineLevel="0" collapsed="false">
      <c r="A51" s="9"/>
      <c r="B51" s="9"/>
      <c r="C51" s="10" t="str">
        <f aca="false">IF($B51="","",IFERROR(INDEX('Client Master'!$C:$C,MATCH($B51,'Client Master'!$B:$B,0)),"Code not found"))</f>
        <v/>
      </c>
      <c r="D51" s="9"/>
      <c r="E51" s="9"/>
      <c r="F51" s="9"/>
      <c r="G51" s="11"/>
      <c r="H51" s="11"/>
      <c r="I51" s="9"/>
      <c r="J51" s="12"/>
      <c r="K51" s="11"/>
      <c r="L51" s="9"/>
      <c r="N51" s="0" t="str">
        <f aca="false">IF(AND($J51&gt;0,$K51="",$A51&lt;&gt;""),SUMPRODUCT(($J$2:$J$600&gt;0)*($K$2:$K$600="")*($A$2:$A$600&lt;&gt;"")*((IF($G$2:$G$600="",99999999,$G$2:$G$600))&lt;IF($G51="",99999999,$G51)))+SUMPRODUCT(($J$2:$J51&gt;0)*($K$2:$K51="")*($A$2:$A51&lt;&gt;"")*((IF($G$2:$G51="",99999999,$G$2:$G51))=IF($G51="",99999999,$G51))),"")</f>
        <v/>
      </c>
      <c r="O51" s="0" t="str">
        <f aca="false">IF(AND($F51="Not Started",$A51&lt;&gt;""),SUMPRODUCT(($F$2:$F$600="Not Started")*($A$2:$A$600&lt;&gt;"")*((IF($G$2:$G$600="",99999999,$G$2:$G$600))&lt;IF($G51="",99999999,$G51)))+SUMPRODUCT(($F$2:$F51="Not Started")*($A$2:$A51&lt;&gt;"")*((IF($G$2:$G51="",99999999,$G$2:$G51))=IF($G51="",99999999,$G51))),"")</f>
        <v/>
      </c>
      <c r="P51" s="0" t="str">
        <f aca="false">IF(AND(OR($F51="In Progress",$F51="Pending Client Data",$F51="Under Review"),$A51&lt;&gt;""),SUMPRODUCT((($F$2:$F$600="In Progress")+($F$2:$F$600="Pending Client Data")+($F$2:$F$600="Under Review"))*($A$2:$A$600&lt;&gt;"")*((IF($G$2:$G$600="",99999999,$G$2:$G$600))&lt;IF($G51="",99999999,$G51)))+SUMPRODUCT((($F$2:$F51="In Progress")+($F$2:$F51="Pending Client Data")+($F$2:$F51="Under Review"))*($A$2:$A51&lt;&gt;"")*((IF($G$2:$G51="",99999999,$G$2:$G51))=IF($G51="",99999999,$G51))),"")</f>
        <v/>
      </c>
    </row>
    <row r="52" customFormat="false" ht="15" hidden="false" customHeight="false" outlineLevel="0" collapsed="false">
      <c r="A52" s="9"/>
      <c r="B52" s="9"/>
      <c r="C52" s="10" t="str">
        <f aca="false">IF($B52="","",IFERROR(INDEX('Client Master'!$C:$C,MATCH($B52,'Client Master'!$B:$B,0)),"Code not found"))</f>
        <v/>
      </c>
      <c r="D52" s="9"/>
      <c r="E52" s="9"/>
      <c r="F52" s="9"/>
      <c r="G52" s="11"/>
      <c r="H52" s="11"/>
      <c r="I52" s="9"/>
      <c r="J52" s="12"/>
      <c r="K52" s="11"/>
      <c r="L52" s="9"/>
      <c r="N52" s="0" t="str">
        <f aca="false">IF(AND($J52&gt;0,$K52="",$A52&lt;&gt;""),SUMPRODUCT(($J$2:$J$600&gt;0)*($K$2:$K$600="")*($A$2:$A$600&lt;&gt;"")*((IF($G$2:$G$600="",99999999,$G$2:$G$600))&lt;IF($G52="",99999999,$G52)))+SUMPRODUCT(($J$2:$J52&gt;0)*($K$2:$K52="")*($A$2:$A52&lt;&gt;"")*((IF($G$2:$G52="",99999999,$G$2:$G52))=IF($G52="",99999999,$G52))),"")</f>
        <v/>
      </c>
      <c r="O52" s="0" t="str">
        <f aca="false">IF(AND($F52="Not Started",$A52&lt;&gt;""),SUMPRODUCT(($F$2:$F$600="Not Started")*($A$2:$A$600&lt;&gt;"")*((IF($G$2:$G$600="",99999999,$G$2:$G$600))&lt;IF($G52="",99999999,$G52)))+SUMPRODUCT(($F$2:$F52="Not Started")*($A$2:$A52&lt;&gt;"")*((IF($G$2:$G52="",99999999,$G$2:$G52))=IF($G52="",99999999,$G52))),"")</f>
        <v/>
      </c>
      <c r="P52" s="0" t="str">
        <f aca="false">IF(AND(OR($F52="In Progress",$F52="Pending Client Data",$F52="Under Review"),$A52&lt;&gt;""),SUMPRODUCT((($F$2:$F$600="In Progress")+($F$2:$F$600="Pending Client Data")+($F$2:$F$600="Under Review"))*($A$2:$A$600&lt;&gt;"")*((IF($G$2:$G$600="",99999999,$G$2:$G$600))&lt;IF($G52="",99999999,$G52)))+SUMPRODUCT((($F$2:$F52="In Progress")+($F$2:$F52="Pending Client Data")+($F$2:$F52="Under Review"))*($A$2:$A52&lt;&gt;"")*((IF($G$2:$G52="",99999999,$G$2:$G52))=IF($G52="",99999999,$G52))),"")</f>
        <v/>
      </c>
    </row>
    <row r="53" customFormat="false" ht="15" hidden="false" customHeight="false" outlineLevel="0" collapsed="false">
      <c r="A53" s="9"/>
      <c r="B53" s="9"/>
      <c r="C53" s="10" t="str">
        <f aca="false">IF($B53="","",IFERROR(INDEX('Client Master'!$C:$C,MATCH($B53,'Client Master'!$B:$B,0)),"Code not found"))</f>
        <v/>
      </c>
      <c r="D53" s="9"/>
      <c r="E53" s="9"/>
      <c r="F53" s="9"/>
      <c r="G53" s="11"/>
      <c r="H53" s="11"/>
      <c r="I53" s="9"/>
      <c r="J53" s="12"/>
      <c r="K53" s="11"/>
      <c r="L53" s="9"/>
      <c r="N53" s="0" t="str">
        <f aca="false">IF(AND($J53&gt;0,$K53="",$A53&lt;&gt;""),SUMPRODUCT(($J$2:$J$600&gt;0)*($K$2:$K$600="")*($A$2:$A$600&lt;&gt;"")*((IF($G$2:$G$600="",99999999,$G$2:$G$600))&lt;IF($G53="",99999999,$G53)))+SUMPRODUCT(($J$2:$J53&gt;0)*($K$2:$K53="")*($A$2:$A53&lt;&gt;"")*((IF($G$2:$G53="",99999999,$G$2:$G53))=IF($G53="",99999999,$G53))),"")</f>
        <v/>
      </c>
      <c r="O53" s="0" t="str">
        <f aca="false">IF(AND($F53="Not Started",$A53&lt;&gt;""),SUMPRODUCT(($F$2:$F$600="Not Started")*($A$2:$A$600&lt;&gt;"")*((IF($G$2:$G$600="",99999999,$G$2:$G$600))&lt;IF($G53="",99999999,$G53)))+SUMPRODUCT(($F$2:$F53="Not Started")*($A$2:$A53&lt;&gt;"")*((IF($G$2:$G53="",99999999,$G$2:$G53))=IF($G53="",99999999,$G53))),"")</f>
        <v/>
      </c>
      <c r="P53" s="0" t="str">
        <f aca="false">IF(AND(OR($F53="In Progress",$F53="Pending Client Data",$F53="Under Review"),$A53&lt;&gt;""),SUMPRODUCT((($F$2:$F$600="In Progress")+($F$2:$F$600="Pending Client Data")+($F$2:$F$600="Under Review"))*($A$2:$A$600&lt;&gt;"")*((IF($G$2:$G$600="",99999999,$G$2:$G$600))&lt;IF($G53="",99999999,$G53)))+SUMPRODUCT((($F$2:$F53="In Progress")+($F$2:$F53="Pending Client Data")+($F$2:$F53="Under Review"))*($A$2:$A53&lt;&gt;"")*((IF($G$2:$G53="",99999999,$G$2:$G53))=IF($G53="",99999999,$G53))),"")</f>
        <v/>
      </c>
    </row>
    <row r="54" customFormat="false" ht="15" hidden="false" customHeight="false" outlineLevel="0" collapsed="false">
      <c r="A54" s="9"/>
      <c r="B54" s="9"/>
      <c r="C54" s="10" t="str">
        <f aca="false">IF($B54="","",IFERROR(INDEX('Client Master'!$C:$C,MATCH($B54,'Client Master'!$B:$B,0)),"Code not found"))</f>
        <v/>
      </c>
      <c r="D54" s="9"/>
      <c r="E54" s="9"/>
      <c r="F54" s="9"/>
      <c r="G54" s="11"/>
      <c r="H54" s="11"/>
      <c r="I54" s="9"/>
      <c r="J54" s="12"/>
      <c r="K54" s="11"/>
      <c r="L54" s="9"/>
      <c r="N54" s="0" t="str">
        <f aca="false">IF(AND($J54&gt;0,$K54="",$A54&lt;&gt;""),SUMPRODUCT(($J$2:$J$600&gt;0)*($K$2:$K$600="")*($A$2:$A$600&lt;&gt;"")*((IF($G$2:$G$600="",99999999,$G$2:$G$600))&lt;IF($G54="",99999999,$G54)))+SUMPRODUCT(($J$2:$J54&gt;0)*($K$2:$K54="")*($A$2:$A54&lt;&gt;"")*((IF($G$2:$G54="",99999999,$G$2:$G54))=IF($G54="",99999999,$G54))),"")</f>
        <v/>
      </c>
      <c r="O54" s="0" t="str">
        <f aca="false">IF(AND($F54="Not Started",$A54&lt;&gt;""),SUMPRODUCT(($F$2:$F$600="Not Started")*($A$2:$A$600&lt;&gt;"")*((IF($G$2:$G$600="",99999999,$G$2:$G$600))&lt;IF($G54="",99999999,$G54)))+SUMPRODUCT(($F$2:$F54="Not Started")*($A$2:$A54&lt;&gt;"")*((IF($G$2:$G54="",99999999,$G$2:$G54))=IF($G54="",99999999,$G54))),"")</f>
        <v/>
      </c>
      <c r="P54" s="0" t="str">
        <f aca="false">IF(AND(OR($F54="In Progress",$F54="Pending Client Data",$F54="Under Review"),$A54&lt;&gt;""),SUMPRODUCT((($F$2:$F$600="In Progress")+($F$2:$F$600="Pending Client Data")+($F$2:$F$600="Under Review"))*($A$2:$A$600&lt;&gt;"")*((IF($G$2:$G$600="",99999999,$G$2:$G$600))&lt;IF($G54="",99999999,$G54)))+SUMPRODUCT((($F$2:$F54="In Progress")+($F$2:$F54="Pending Client Data")+($F$2:$F54="Under Review"))*($A$2:$A54&lt;&gt;"")*((IF($G$2:$G54="",99999999,$G$2:$G54))=IF($G54="",99999999,$G54))),"")</f>
        <v/>
      </c>
    </row>
    <row r="55" customFormat="false" ht="15" hidden="false" customHeight="false" outlineLevel="0" collapsed="false">
      <c r="A55" s="9"/>
      <c r="B55" s="9"/>
      <c r="C55" s="10" t="str">
        <f aca="false">IF($B55="","",IFERROR(INDEX('Client Master'!$C:$C,MATCH($B55,'Client Master'!$B:$B,0)),"Code not found"))</f>
        <v/>
      </c>
      <c r="D55" s="9"/>
      <c r="E55" s="9"/>
      <c r="F55" s="9"/>
      <c r="G55" s="11"/>
      <c r="H55" s="11"/>
      <c r="I55" s="9"/>
      <c r="J55" s="12"/>
      <c r="K55" s="11"/>
      <c r="L55" s="9"/>
      <c r="N55" s="0" t="str">
        <f aca="false">IF(AND($J55&gt;0,$K55="",$A55&lt;&gt;""),SUMPRODUCT(($J$2:$J$600&gt;0)*($K$2:$K$600="")*($A$2:$A$600&lt;&gt;"")*((IF($G$2:$G$600="",99999999,$G$2:$G$600))&lt;IF($G55="",99999999,$G55)))+SUMPRODUCT(($J$2:$J55&gt;0)*($K$2:$K55="")*($A$2:$A55&lt;&gt;"")*((IF($G$2:$G55="",99999999,$G$2:$G55))=IF($G55="",99999999,$G55))),"")</f>
        <v/>
      </c>
      <c r="O55" s="0" t="str">
        <f aca="false">IF(AND($F55="Not Started",$A55&lt;&gt;""),SUMPRODUCT(($F$2:$F$600="Not Started")*($A$2:$A$600&lt;&gt;"")*((IF($G$2:$G$600="",99999999,$G$2:$G$600))&lt;IF($G55="",99999999,$G55)))+SUMPRODUCT(($F$2:$F55="Not Started")*($A$2:$A55&lt;&gt;"")*((IF($G$2:$G55="",99999999,$G$2:$G55))=IF($G55="",99999999,$G55))),"")</f>
        <v/>
      </c>
      <c r="P55" s="0" t="str">
        <f aca="false">IF(AND(OR($F55="In Progress",$F55="Pending Client Data",$F55="Under Review"),$A55&lt;&gt;""),SUMPRODUCT((($F$2:$F$600="In Progress")+($F$2:$F$600="Pending Client Data")+($F$2:$F$600="Under Review"))*($A$2:$A$600&lt;&gt;"")*((IF($G$2:$G$600="",99999999,$G$2:$G$600))&lt;IF($G55="",99999999,$G55)))+SUMPRODUCT((($F$2:$F55="In Progress")+($F$2:$F55="Pending Client Data")+($F$2:$F55="Under Review"))*($A$2:$A55&lt;&gt;"")*((IF($G$2:$G55="",99999999,$G$2:$G55))=IF($G55="",99999999,$G55))),"")</f>
        <v/>
      </c>
    </row>
    <row r="56" customFormat="false" ht="15" hidden="false" customHeight="false" outlineLevel="0" collapsed="false">
      <c r="A56" s="9"/>
      <c r="B56" s="9"/>
      <c r="C56" s="10" t="str">
        <f aca="false">IF($B56="","",IFERROR(INDEX('Client Master'!$C:$C,MATCH($B56,'Client Master'!$B:$B,0)),"Code not found"))</f>
        <v/>
      </c>
      <c r="D56" s="9"/>
      <c r="E56" s="9"/>
      <c r="F56" s="9"/>
      <c r="G56" s="11"/>
      <c r="H56" s="11"/>
      <c r="I56" s="9"/>
      <c r="J56" s="12"/>
      <c r="K56" s="11"/>
      <c r="L56" s="9"/>
      <c r="N56" s="0" t="str">
        <f aca="false">IF(AND($J56&gt;0,$K56="",$A56&lt;&gt;""),SUMPRODUCT(($J$2:$J$600&gt;0)*($K$2:$K$600="")*($A$2:$A$600&lt;&gt;"")*((IF($G$2:$G$600="",99999999,$G$2:$G$600))&lt;IF($G56="",99999999,$G56)))+SUMPRODUCT(($J$2:$J56&gt;0)*($K$2:$K56="")*($A$2:$A56&lt;&gt;"")*((IF($G$2:$G56="",99999999,$G$2:$G56))=IF($G56="",99999999,$G56))),"")</f>
        <v/>
      </c>
      <c r="O56" s="0" t="str">
        <f aca="false">IF(AND($F56="Not Started",$A56&lt;&gt;""),SUMPRODUCT(($F$2:$F$600="Not Started")*($A$2:$A$600&lt;&gt;"")*((IF($G$2:$G$600="",99999999,$G$2:$G$600))&lt;IF($G56="",99999999,$G56)))+SUMPRODUCT(($F$2:$F56="Not Started")*($A$2:$A56&lt;&gt;"")*((IF($G$2:$G56="",99999999,$G$2:$G56))=IF($G56="",99999999,$G56))),"")</f>
        <v/>
      </c>
      <c r="P56" s="0" t="str">
        <f aca="false">IF(AND(OR($F56="In Progress",$F56="Pending Client Data",$F56="Under Review"),$A56&lt;&gt;""),SUMPRODUCT((($F$2:$F$600="In Progress")+($F$2:$F$600="Pending Client Data")+($F$2:$F$600="Under Review"))*($A$2:$A$600&lt;&gt;"")*((IF($G$2:$G$600="",99999999,$G$2:$G$600))&lt;IF($G56="",99999999,$G56)))+SUMPRODUCT((($F$2:$F56="In Progress")+($F$2:$F56="Pending Client Data")+($F$2:$F56="Under Review"))*($A$2:$A56&lt;&gt;"")*((IF($G$2:$G56="",99999999,$G$2:$G56))=IF($G56="",99999999,$G56))),"")</f>
        <v/>
      </c>
    </row>
    <row r="57" customFormat="false" ht="15" hidden="false" customHeight="false" outlineLevel="0" collapsed="false">
      <c r="A57" s="9"/>
      <c r="B57" s="9"/>
      <c r="C57" s="10" t="str">
        <f aca="false">IF($B57="","",IFERROR(INDEX('Client Master'!$C:$C,MATCH($B57,'Client Master'!$B:$B,0)),"Code not found"))</f>
        <v/>
      </c>
      <c r="D57" s="9"/>
      <c r="E57" s="9"/>
      <c r="F57" s="9"/>
      <c r="G57" s="11"/>
      <c r="H57" s="11"/>
      <c r="I57" s="9"/>
      <c r="J57" s="12"/>
      <c r="K57" s="11"/>
      <c r="L57" s="9"/>
      <c r="N57" s="0" t="str">
        <f aca="false">IF(AND($J57&gt;0,$K57="",$A57&lt;&gt;""),SUMPRODUCT(($J$2:$J$600&gt;0)*($K$2:$K$600="")*($A$2:$A$600&lt;&gt;"")*((IF($G$2:$G$600="",99999999,$G$2:$G$600))&lt;IF($G57="",99999999,$G57)))+SUMPRODUCT(($J$2:$J57&gt;0)*($K$2:$K57="")*($A$2:$A57&lt;&gt;"")*((IF($G$2:$G57="",99999999,$G$2:$G57))=IF($G57="",99999999,$G57))),"")</f>
        <v/>
      </c>
      <c r="O57" s="0" t="str">
        <f aca="false">IF(AND($F57="Not Started",$A57&lt;&gt;""),SUMPRODUCT(($F$2:$F$600="Not Started")*($A$2:$A$600&lt;&gt;"")*((IF($G$2:$G$600="",99999999,$G$2:$G$600))&lt;IF($G57="",99999999,$G57)))+SUMPRODUCT(($F$2:$F57="Not Started")*($A$2:$A57&lt;&gt;"")*((IF($G$2:$G57="",99999999,$G$2:$G57))=IF($G57="",99999999,$G57))),"")</f>
        <v/>
      </c>
      <c r="P57" s="0" t="str">
        <f aca="false">IF(AND(OR($F57="In Progress",$F57="Pending Client Data",$F57="Under Review"),$A57&lt;&gt;""),SUMPRODUCT((($F$2:$F$600="In Progress")+($F$2:$F$600="Pending Client Data")+($F$2:$F$600="Under Review"))*($A$2:$A$600&lt;&gt;"")*((IF($G$2:$G$600="",99999999,$G$2:$G$600))&lt;IF($G57="",99999999,$G57)))+SUMPRODUCT((($F$2:$F57="In Progress")+($F$2:$F57="Pending Client Data")+($F$2:$F57="Under Review"))*($A$2:$A57&lt;&gt;"")*((IF($G$2:$G57="",99999999,$G$2:$G57))=IF($G57="",99999999,$G57))),"")</f>
        <v/>
      </c>
    </row>
    <row r="58" customFormat="false" ht="15" hidden="false" customHeight="false" outlineLevel="0" collapsed="false">
      <c r="A58" s="9"/>
      <c r="B58" s="9"/>
      <c r="C58" s="10" t="str">
        <f aca="false">IF($B58="","",IFERROR(INDEX('Client Master'!$C:$C,MATCH($B58,'Client Master'!$B:$B,0)),"Code not found"))</f>
        <v/>
      </c>
      <c r="D58" s="9"/>
      <c r="E58" s="9"/>
      <c r="F58" s="9"/>
      <c r="G58" s="11"/>
      <c r="H58" s="11"/>
      <c r="I58" s="9"/>
      <c r="J58" s="12"/>
      <c r="K58" s="11"/>
      <c r="L58" s="9"/>
      <c r="N58" s="0" t="str">
        <f aca="false">IF(AND($J58&gt;0,$K58="",$A58&lt;&gt;""),SUMPRODUCT(($J$2:$J$600&gt;0)*($K$2:$K$600="")*($A$2:$A$600&lt;&gt;"")*((IF($G$2:$G$600="",99999999,$G$2:$G$600))&lt;IF($G58="",99999999,$G58)))+SUMPRODUCT(($J$2:$J58&gt;0)*($K$2:$K58="")*($A$2:$A58&lt;&gt;"")*((IF($G$2:$G58="",99999999,$G$2:$G58))=IF($G58="",99999999,$G58))),"")</f>
        <v/>
      </c>
      <c r="O58" s="0" t="str">
        <f aca="false">IF(AND($F58="Not Started",$A58&lt;&gt;""),SUMPRODUCT(($F$2:$F$600="Not Started")*($A$2:$A$600&lt;&gt;"")*((IF($G$2:$G$600="",99999999,$G$2:$G$600))&lt;IF($G58="",99999999,$G58)))+SUMPRODUCT(($F$2:$F58="Not Started")*($A$2:$A58&lt;&gt;"")*((IF($G$2:$G58="",99999999,$G$2:$G58))=IF($G58="",99999999,$G58))),"")</f>
        <v/>
      </c>
      <c r="P58" s="0" t="str">
        <f aca="false">IF(AND(OR($F58="In Progress",$F58="Pending Client Data",$F58="Under Review"),$A58&lt;&gt;""),SUMPRODUCT((($F$2:$F$600="In Progress")+($F$2:$F$600="Pending Client Data")+($F$2:$F$600="Under Review"))*($A$2:$A$600&lt;&gt;"")*((IF($G$2:$G$600="",99999999,$G$2:$G$600))&lt;IF($G58="",99999999,$G58)))+SUMPRODUCT((($F$2:$F58="In Progress")+($F$2:$F58="Pending Client Data")+($F$2:$F58="Under Review"))*($A$2:$A58&lt;&gt;"")*((IF($G$2:$G58="",99999999,$G$2:$G58))=IF($G58="",99999999,$G58))),"")</f>
        <v/>
      </c>
    </row>
    <row r="59" customFormat="false" ht="15" hidden="false" customHeight="false" outlineLevel="0" collapsed="false">
      <c r="A59" s="9"/>
      <c r="B59" s="9"/>
      <c r="C59" s="10" t="str">
        <f aca="false">IF($B59="","",IFERROR(INDEX('Client Master'!$C:$C,MATCH($B59,'Client Master'!$B:$B,0)),"Code not found"))</f>
        <v/>
      </c>
      <c r="D59" s="9"/>
      <c r="E59" s="9"/>
      <c r="F59" s="9"/>
      <c r="G59" s="11"/>
      <c r="H59" s="11"/>
      <c r="I59" s="9"/>
      <c r="J59" s="12"/>
      <c r="K59" s="11"/>
      <c r="L59" s="9"/>
      <c r="N59" s="0" t="str">
        <f aca="false">IF(AND($J59&gt;0,$K59="",$A59&lt;&gt;""),SUMPRODUCT(($J$2:$J$600&gt;0)*($K$2:$K$600="")*($A$2:$A$600&lt;&gt;"")*((IF($G$2:$G$600="",99999999,$G$2:$G$600))&lt;IF($G59="",99999999,$G59)))+SUMPRODUCT(($J$2:$J59&gt;0)*($K$2:$K59="")*($A$2:$A59&lt;&gt;"")*((IF($G$2:$G59="",99999999,$G$2:$G59))=IF($G59="",99999999,$G59))),"")</f>
        <v/>
      </c>
      <c r="O59" s="0" t="str">
        <f aca="false">IF(AND($F59="Not Started",$A59&lt;&gt;""),SUMPRODUCT(($F$2:$F$600="Not Started")*($A$2:$A$600&lt;&gt;"")*((IF($G$2:$G$600="",99999999,$G$2:$G$600))&lt;IF($G59="",99999999,$G59)))+SUMPRODUCT(($F$2:$F59="Not Started")*($A$2:$A59&lt;&gt;"")*((IF($G$2:$G59="",99999999,$G$2:$G59))=IF($G59="",99999999,$G59))),"")</f>
        <v/>
      </c>
      <c r="P59" s="0" t="str">
        <f aca="false">IF(AND(OR($F59="In Progress",$F59="Pending Client Data",$F59="Under Review"),$A59&lt;&gt;""),SUMPRODUCT((($F$2:$F$600="In Progress")+($F$2:$F$600="Pending Client Data")+($F$2:$F$600="Under Review"))*($A$2:$A$600&lt;&gt;"")*((IF($G$2:$G$600="",99999999,$G$2:$G$600))&lt;IF($G59="",99999999,$G59)))+SUMPRODUCT((($F$2:$F59="In Progress")+($F$2:$F59="Pending Client Data")+($F$2:$F59="Under Review"))*($A$2:$A59&lt;&gt;"")*((IF($G$2:$G59="",99999999,$G$2:$G59))=IF($G59="",99999999,$G59))),"")</f>
        <v/>
      </c>
    </row>
    <row r="60" customFormat="false" ht="15" hidden="false" customHeight="false" outlineLevel="0" collapsed="false">
      <c r="A60" s="9"/>
      <c r="B60" s="9"/>
      <c r="C60" s="10" t="str">
        <f aca="false">IF($B60="","",IFERROR(INDEX('Client Master'!$C:$C,MATCH($B60,'Client Master'!$B:$B,0)),"Code not found"))</f>
        <v/>
      </c>
      <c r="D60" s="9"/>
      <c r="E60" s="9"/>
      <c r="F60" s="9"/>
      <c r="G60" s="11"/>
      <c r="H60" s="11"/>
      <c r="I60" s="9"/>
      <c r="J60" s="12"/>
      <c r="K60" s="11"/>
      <c r="L60" s="9"/>
      <c r="N60" s="0" t="str">
        <f aca="false">IF(AND($J60&gt;0,$K60="",$A60&lt;&gt;""),SUMPRODUCT(($J$2:$J$600&gt;0)*($K$2:$K$600="")*($A$2:$A$600&lt;&gt;"")*((IF($G$2:$G$600="",99999999,$G$2:$G$600))&lt;IF($G60="",99999999,$G60)))+SUMPRODUCT(($J$2:$J60&gt;0)*($K$2:$K60="")*($A$2:$A60&lt;&gt;"")*((IF($G$2:$G60="",99999999,$G$2:$G60))=IF($G60="",99999999,$G60))),"")</f>
        <v/>
      </c>
      <c r="O60" s="0" t="str">
        <f aca="false">IF(AND($F60="Not Started",$A60&lt;&gt;""),SUMPRODUCT(($F$2:$F$600="Not Started")*($A$2:$A$600&lt;&gt;"")*((IF($G$2:$G$600="",99999999,$G$2:$G$600))&lt;IF($G60="",99999999,$G60)))+SUMPRODUCT(($F$2:$F60="Not Started")*($A$2:$A60&lt;&gt;"")*((IF($G$2:$G60="",99999999,$G$2:$G60))=IF($G60="",99999999,$G60))),"")</f>
        <v/>
      </c>
      <c r="P60" s="0" t="str">
        <f aca="false">IF(AND(OR($F60="In Progress",$F60="Pending Client Data",$F60="Under Review"),$A60&lt;&gt;""),SUMPRODUCT((($F$2:$F$600="In Progress")+($F$2:$F$600="Pending Client Data")+($F$2:$F$600="Under Review"))*($A$2:$A$600&lt;&gt;"")*((IF($G$2:$G$600="",99999999,$G$2:$G$600))&lt;IF($G60="",99999999,$G60)))+SUMPRODUCT((($F$2:$F60="In Progress")+($F$2:$F60="Pending Client Data")+($F$2:$F60="Under Review"))*($A$2:$A60&lt;&gt;"")*((IF($G$2:$G60="",99999999,$G$2:$G60))=IF($G60="",99999999,$G60))),"")</f>
        <v/>
      </c>
    </row>
    <row r="61" customFormat="false" ht="15" hidden="false" customHeight="false" outlineLevel="0" collapsed="false">
      <c r="A61" s="9"/>
      <c r="B61" s="9"/>
      <c r="C61" s="10" t="str">
        <f aca="false">IF($B61="","",IFERROR(INDEX('Client Master'!$C:$C,MATCH($B61,'Client Master'!$B:$B,0)),"Code not found"))</f>
        <v/>
      </c>
      <c r="D61" s="9"/>
      <c r="E61" s="9"/>
      <c r="F61" s="9"/>
      <c r="G61" s="11"/>
      <c r="H61" s="11"/>
      <c r="I61" s="9"/>
      <c r="J61" s="12"/>
      <c r="K61" s="11"/>
      <c r="L61" s="9"/>
      <c r="N61" s="0" t="str">
        <f aca="false">IF(AND($J61&gt;0,$K61="",$A61&lt;&gt;""),SUMPRODUCT(($J$2:$J$600&gt;0)*($K$2:$K$600="")*($A$2:$A$600&lt;&gt;"")*((IF($G$2:$G$600="",99999999,$G$2:$G$600))&lt;IF($G61="",99999999,$G61)))+SUMPRODUCT(($J$2:$J61&gt;0)*($K$2:$K61="")*($A$2:$A61&lt;&gt;"")*((IF($G$2:$G61="",99999999,$G$2:$G61))=IF($G61="",99999999,$G61))),"")</f>
        <v/>
      </c>
      <c r="O61" s="0" t="str">
        <f aca="false">IF(AND($F61="Not Started",$A61&lt;&gt;""),SUMPRODUCT(($F$2:$F$600="Not Started")*($A$2:$A$600&lt;&gt;"")*((IF($G$2:$G$600="",99999999,$G$2:$G$600))&lt;IF($G61="",99999999,$G61)))+SUMPRODUCT(($F$2:$F61="Not Started")*($A$2:$A61&lt;&gt;"")*((IF($G$2:$G61="",99999999,$G$2:$G61))=IF($G61="",99999999,$G61))),"")</f>
        <v/>
      </c>
      <c r="P61" s="0" t="str">
        <f aca="false">IF(AND(OR($F61="In Progress",$F61="Pending Client Data",$F61="Under Review"),$A61&lt;&gt;""),SUMPRODUCT((($F$2:$F$600="In Progress")+($F$2:$F$600="Pending Client Data")+($F$2:$F$600="Under Review"))*($A$2:$A$600&lt;&gt;"")*((IF($G$2:$G$600="",99999999,$G$2:$G$600))&lt;IF($G61="",99999999,$G61)))+SUMPRODUCT((($F$2:$F61="In Progress")+($F$2:$F61="Pending Client Data")+($F$2:$F61="Under Review"))*($A$2:$A61&lt;&gt;"")*((IF($G$2:$G61="",99999999,$G$2:$G61))=IF($G61="",99999999,$G61))),"")</f>
        <v/>
      </c>
    </row>
    <row r="62" customFormat="false" ht="15" hidden="false" customHeight="false" outlineLevel="0" collapsed="false">
      <c r="A62" s="9"/>
      <c r="B62" s="9"/>
      <c r="C62" s="10" t="str">
        <f aca="false">IF($B62="","",IFERROR(INDEX('Client Master'!$C:$C,MATCH($B62,'Client Master'!$B:$B,0)),"Code not found"))</f>
        <v/>
      </c>
      <c r="D62" s="9"/>
      <c r="E62" s="9"/>
      <c r="F62" s="9"/>
      <c r="G62" s="11"/>
      <c r="H62" s="11"/>
      <c r="I62" s="9"/>
      <c r="J62" s="12"/>
      <c r="K62" s="11"/>
      <c r="L62" s="9"/>
      <c r="N62" s="0" t="str">
        <f aca="false">IF(AND($J62&gt;0,$K62="",$A62&lt;&gt;""),SUMPRODUCT(($J$2:$J$600&gt;0)*($K$2:$K$600="")*($A$2:$A$600&lt;&gt;"")*((IF($G$2:$G$600="",99999999,$G$2:$G$600))&lt;IF($G62="",99999999,$G62)))+SUMPRODUCT(($J$2:$J62&gt;0)*($K$2:$K62="")*($A$2:$A62&lt;&gt;"")*((IF($G$2:$G62="",99999999,$G$2:$G62))=IF($G62="",99999999,$G62))),"")</f>
        <v/>
      </c>
      <c r="O62" s="0" t="str">
        <f aca="false">IF(AND($F62="Not Started",$A62&lt;&gt;""),SUMPRODUCT(($F$2:$F$600="Not Started")*($A$2:$A$600&lt;&gt;"")*((IF($G$2:$G$600="",99999999,$G$2:$G$600))&lt;IF($G62="",99999999,$G62)))+SUMPRODUCT(($F$2:$F62="Not Started")*($A$2:$A62&lt;&gt;"")*((IF($G$2:$G62="",99999999,$G$2:$G62))=IF($G62="",99999999,$G62))),"")</f>
        <v/>
      </c>
      <c r="P62" s="0" t="str">
        <f aca="false">IF(AND(OR($F62="In Progress",$F62="Pending Client Data",$F62="Under Review"),$A62&lt;&gt;""),SUMPRODUCT((($F$2:$F$600="In Progress")+($F$2:$F$600="Pending Client Data")+($F$2:$F$600="Under Review"))*($A$2:$A$600&lt;&gt;"")*((IF($G$2:$G$600="",99999999,$G$2:$G$600))&lt;IF($G62="",99999999,$G62)))+SUMPRODUCT((($F$2:$F62="In Progress")+($F$2:$F62="Pending Client Data")+($F$2:$F62="Under Review"))*($A$2:$A62&lt;&gt;"")*((IF($G$2:$G62="",99999999,$G$2:$G62))=IF($G62="",99999999,$G62))),"")</f>
        <v/>
      </c>
    </row>
    <row r="63" customFormat="false" ht="15" hidden="false" customHeight="false" outlineLevel="0" collapsed="false">
      <c r="A63" s="9"/>
      <c r="B63" s="9"/>
      <c r="C63" s="10" t="str">
        <f aca="false">IF($B63="","",IFERROR(INDEX('Client Master'!$C:$C,MATCH($B63,'Client Master'!$B:$B,0)),"Code not found"))</f>
        <v/>
      </c>
      <c r="D63" s="9"/>
      <c r="E63" s="9"/>
      <c r="F63" s="9"/>
      <c r="G63" s="11"/>
      <c r="H63" s="11"/>
      <c r="I63" s="9"/>
      <c r="J63" s="12"/>
      <c r="K63" s="11"/>
      <c r="L63" s="9"/>
      <c r="N63" s="0" t="str">
        <f aca="false">IF(AND($J63&gt;0,$K63="",$A63&lt;&gt;""),SUMPRODUCT(($J$2:$J$600&gt;0)*($K$2:$K$600="")*($A$2:$A$600&lt;&gt;"")*((IF($G$2:$G$600="",99999999,$G$2:$G$600))&lt;IF($G63="",99999999,$G63)))+SUMPRODUCT(($J$2:$J63&gt;0)*($K$2:$K63="")*($A$2:$A63&lt;&gt;"")*((IF($G$2:$G63="",99999999,$G$2:$G63))=IF($G63="",99999999,$G63))),"")</f>
        <v/>
      </c>
      <c r="O63" s="0" t="str">
        <f aca="false">IF(AND($F63="Not Started",$A63&lt;&gt;""),SUMPRODUCT(($F$2:$F$600="Not Started")*($A$2:$A$600&lt;&gt;"")*((IF($G$2:$G$600="",99999999,$G$2:$G$600))&lt;IF($G63="",99999999,$G63)))+SUMPRODUCT(($F$2:$F63="Not Started")*($A$2:$A63&lt;&gt;"")*((IF($G$2:$G63="",99999999,$G$2:$G63))=IF($G63="",99999999,$G63))),"")</f>
        <v/>
      </c>
      <c r="P63" s="0" t="str">
        <f aca="false">IF(AND(OR($F63="In Progress",$F63="Pending Client Data",$F63="Under Review"),$A63&lt;&gt;""),SUMPRODUCT((($F$2:$F$600="In Progress")+($F$2:$F$600="Pending Client Data")+($F$2:$F$600="Under Review"))*($A$2:$A$600&lt;&gt;"")*((IF($G$2:$G$600="",99999999,$G$2:$G$600))&lt;IF($G63="",99999999,$G63)))+SUMPRODUCT((($F$2:$F63="In Progress")+($F$2:$F63="Pending Client Data")+($F$2:$F63="Under Review"))*($A$2:$A63&lt;&gt;"")*((IF($G$2:$G63="",99999999,$G$2:$G63))=IF($G63="",99999999,$G63))),"")</f>
        <v/>
      </c>
    </row>
    <row r="64" customFormat="false" ht="15" hidden="false" customHeight="false" outlineLevel="0" collapsed="false">
      <c r="A64" s="9"/>
      <c r="B64" s="9"/>
      <c r="C64" s="10" t="str">
        <f aca="false">IF($B64="","",IFERROR(INDEX('Client Master'!$C:$C,MATCH($B64,'Client Master'!$B:$B,0)),"Code not found"))</f>
        <v/>
      </c>
      <c r="D64" s="9"/>
      <c r="E64" s="9"/>
      <c r="F64" s="9"/>
      <c r="G64" s="11"/>
      <c r="H64" s="11"/>
      <c r="I64" s="9"/>
      <c r="J64" s="12"/>
      <c r="K64" s="11"/>
      <c r="L64" s="9"/>
      <c r="N64" s="0" t="str">
        <f aca="false">IF(AND($J64&gt;0,$K64="",$A64&lt;&gt;""),SUMPRODUCT(($J$2:$J$600&gt;0)*($K$2:$K$600="")*($A$2:$A$600&lt;&gt;"")*((IF($G$2:$G$600="",99999999,$G$2:$G$600))&lt;IF($G64="",99999999,$G64)))+SUMPRODUCT(($J$2:$J64&gt;0)*($K$2:$K64="")*($A$2:$A64&lt;&gt;"")*((IF($G$2:$G64="",99999999,$G$2:$G64))=IF($G64="",99999999,$G64))),"")</f>
        <v/>
      </c>
      <c r="O64" s="0" t="str">
        <f aca="false">IF(AND($F64="Not Started",$A64&lt;&gt;""),SUMPRODUCT(($F$2:$F$600="Not Started")*($A$2:$A$600&lt;&gt;"")*((IF($G$2:$G$600="",99999999,$G$2:$G$600))&lt;IF($G64="",99999999,$G64)))+SUMPRODUCT(($F$2:$F64="Not Started")*($A$2:$A64&lt;&gt;"")*((IF($G$2:$G64="",99999999,$G$2:$G64))=IF($G64="",99999999,$G64))),"")</f>
        <v/>
      </c>
      <c r="P64" s="0" t="str">
        <f aca="false">IF(AND(OR($F64="In Progress",$F64="Pending Client Data",$F64="Under Review"),$A64&lt;&gt;""),SUMPRODUCT((($F$2:$F$600="In Progress")+($F$2:$F$600="Pending Client Data")+($F$2:$F$600="Under Review"))*($A$2:$A$600&lt;&gt;"")*((IF($G$2:$G$600="",99999999,$G$2:$G$600))&lt;IF($G64="",99999999,$G64)))+SUMPRODUCT((($F$2:$F64="In Progress")+($F$2:$F64="Pending Client Data")+($F$2:$F64="Under Review"))*($A$2:$A64&lt;&gt;"")*((IF($G$2:$G64="",99999999,$G$2:$G64))=IF($G64="",99999999,$G64))),"")</f>
        <v/>
      </c>
    </row>
    <row r="65" customFormat="false" ht="15" hidden="false" customHeight="false" outlineLevel="0" collapsed="false">
      <c r="A65" s="9"/>
      <c r="B65" s="9"/>
      <c r="C65" s="10" t="str">
        <f aca="false">IF($B65="","",IFERROR(INDEX('Client Master'!$C:$C,MATCH($B65,'Client Master'!$B:$B,0)),"Code not found"))</f>
        <v/>
      </c>
      <c r="D65" s="9"/>
      <c r="E65" s="9"/>
      <c r="F65" s="9"/>
      <c r="G65" s="11"/>
      <c r="H65" s="11"/>
      <c r="I65" s="9"/>
      <c r="J65" s="12"/>
      <c r="K65" s="11"/>
      <c r="L65" s="9"/>
      <c r="N65" s="0" t="str">
        <f aca="false">IF(AND($J65&gt;0,$K65="",$A65&lt;&gt;""),SUMPRODUCT(($J$2:$J$600&gt;0)*($K$2:$K$600="")*($A$2:$A$600&lt;&gt;"")*((IF($G$2:$G$600="",99999999,$G$2:$G$600))&lt;IF($G65="",99999999,$G65)))+SUMPRODUCT(($J$2:$J65&gt;0)*($K$2:$K65="")*($A$2:$A65&lt;&gt;"")*((IF($G$2:$G65="",99999999,$G$2:$G65))=IF($G65="",99999999,$G65))),"")</f>
        <v/>
      </c>
      <c r="O65" s="0" t="str">
        <f aca="false">IF(AND($F65="Not Started",$A65&lt;&gt;""),SUMPRODUCT(($F$2:$F$600="Not Started")*($A$2:$A$600&lt;&gt;"")*((IF($G$2:$G$600="",99999999,$G$2:$G$600))&lt;IF($G65="",99999999,$G65)))+SUMPRODUCT(($F$2:$F65="Not Started")*($A$2:$A65&lt;&gt;"")*((IF($G$2:$G65="",99999999,$G$2:$G65))=IF($G65="",99999999,$G65))),"")</f>
        <v/>
      </c>
      <c r="P65" s="0" t="str">
        <f aca="false">IF(AND(OR($F65="In Progress",$F65="Pending Client Data",$F65="Under Review"),$A65&lt;&gt;""),SUMPRODUCT((($F$2:$F$600="In Progress")+($F$2:$F$600="Pending Client Data")+($F$2:$F$600="Under Review"))*($A$2:$A$600&lt;&gt;"")*((IF($G$2:$G$600="",99999999,$G$2:$G$600))&lt;IF($G65="",99999999,$G65)))+SUMPRODUCT((($F$2:$F65="In Progress")+($F$2:$F65="Pending Client Data")+($F$2:$F65="Under Review"))*($A$2:$A65&lt;&gt;"")*((IF($G$2:$G65="",99999999,$G$2:$G65))=IF($G65="",99999999,$G65))),"")</f>
        <v/>
      </c>
    </row>
    <row r="66" customFormat="false" ht="15" hidden="false" customHeight="false" outlineLevel="0" collapsed="false">
      <c r="A66" s="9"/>
      <c r="B66" s="9"/>
      <c r="C66" s="10" t="str">
        <f aca="false">IF($B66="","",IFERROR(INDEX('Client Master'!$C:$C,MATCH($B66,'Client Master'!$B:$B,0)),"Code not found"))</f>
        <v/>
      </c>
      <c r="D66" s="9"/>
      <c r="E66" s="9"/>
      <c r="F66" s="9"/>
      <c r="G66" s="11"/>
      <c r="H66" s="11"/>
      <c r="I66" s="9"/>
      <c r="J66" s="12"/>
      <c r="K66" s="11"/>
      <c r="L66" s="9"/>
      <c r="N66" s="0" t="str">
        <f aca="false">IF(AND($J66&gt;0,$K66="",$A66&lt;&gt;""),SUMPRODUCT(($J$2:$J$600&gt;0)*($K$2:$K$600="")*($A$2:$A$600&lt;&gt;"")*((IF($G$2:$G$600="",99999999,$G$2:$G$600))&lt;IF($G66="",99999999,$G66)))+SUMPRODUCT(($J$2:$J66&gt;0)*($K$2:$K66="")*($A$2:$A66&lt;&gt;"")*((IF($G$2:$G66="",99999999,$G$2:$G66))=IF($G66="",99999999,$G66))),"")</f>
        <v/>
      </c>
      <c r="O66" s="0" t="str">
        <f aca="false">IF(AND($F66="Not Started",$A66&lt;&gt;""),SUMPRODUCT(($F$2:$F$600="Not Started")*($A$2:$A$600&lt;&gt;"")*((IF($G$2:$G$600="",99999999,$G$2:$G$600))&lt;IF($G66="",99999999,$G66)))+SUMPRODUCT(($F$2:$F66="Not Started")*($A$2:$A66&lt;&gt;"")*((IF($G$2:$G66="",99999999,$G$2:$G66))=IF($G66="",99999999,$G66))),"")</f>
        <v/>
      </c>
      <c r="P66" s="0" t="str">
        <f aca="false">IF(AND(OR($F66="In Progress",$F66="Pending Client Data",$F66="Under Review"),$A66&lt;&gt;""),SUMPRODUCT((($F$2:$F$600="In Progress")+($F$2:$F$600="Pending Client Data")+($F$2:$F$600="Under Review"))*($A$2:$A$600&lt;&gt;"")*((IF($G$2:$G$600="",99999999,$G$2:$G$600))&lt;IF($G66="",99999999,$G66)))+SUMPRODUCT((($F$2:$F66="In Progress")+($F$2:$F66="Pending Client Data")+($F$2:$F66="Under Review"))*($A$2:$A66&lt;&gt;"")*((IF($G$2:$G66="",99999999,$G$2:$G66))=IF($G66="",99999999,$G66))),"")</f>
        <v/>
      </c>
    </row>
    <row r="67" customFormat="false" ht="15" hidden="false" customHeight="false" outlineLevel="0" collapsed="false">
      <c r="A67" s="9"/>
      <c r="B67" s="9"/>
      <c r="C67" s="10" t="str">
        <f aca="false">IF($B67="","",IFERROR(INDEX('Client Master'!$C:$C,MATCH($B67,'Client Master'!$B:$B,0)),"Code not found"))</f>
        <v/>
      </c>
      <c r="D67" s="9"/>
      <c r="E67" s="9"/>
      <c r="F67" s="9"/>
      <c r="G67" s="11"/>
      <c r="H67" s="11"/>
      <c r="I67" s="9"/>
      <c r="J67" s="12"/>
      <c r="K67" s="11"/>
      <c r="L67" s="9"/>
      <c r="N67" s="0" t="str">
        <f aca="false">IF(AND($J67&gt;0,$K67="",$A67&lt;&gt;""),SUMPRODUCT(($J$2:$J$600&gt;0)*($K$2:$K$600="")*($A$2:$A$600&lt;&gt;"")*((IF($G$2:$G$600="",99999999,$G$2:$G$600))&lt;IF($G67="",99999999,$G67)))+SUMPRODUCT(($J$2:$J67&gt;0)*($K$2:$K67="")*($A$2:$A67&lt;&gt;"")*((IF($G$2:$G67="",99999999,$G$2:$G67))=IF($G67="",99999999,$G67))),"")</f>
        <v/>
      </c>
      <c r="O67" s="0" t="str">
        <f aca="false">IF(AND($F67="Not Started",$A67&lt;&gt;""),SUMPRODUCT(($F$2:$F$600="Not Started")*($A$2:$A$600&lt;&gt;"")*((IF($G$2:$G$600="",99999999,$G$2:$G$600))&lt;IF($G67="",99999999,$G67)))+SUMPRODUCT(($F$2:$F67="Not Started")*($A$2:$A67&lt;&gt;"")*((IF($G$2:$G67="",99999999,$G$2:$G67))=IF($G67="",99999999,$G67))),"")</f>
        <v/>
      </c>
      <c r="P67" s="0" t="str">
        <f aca="false">IF(AND(OR($F67="In Progress",$F67="Pending Client Data",$F67="Under Review"),$A67&lt;&gt;""),SUMPRODUCT((($F$2:$F$600="In Progress")+($F$2:$F$600="Pending Client Data")+($F$2:$F$600="Under Review"))*($A$2:$A$600&lt;&gt;"")*((IF($G$2:$G$600="",99999999,$G$2:$G$600))&lt;IF($G67="",99999999,$G67)))+SUMPRODUCT((($F$2:$F67="In Progress")+($F$2:$F67="Pending Client Data")+($F$2:$F67="Under Review"))*($A$2:$A67&lt;&gt;"")*((IF($G$2:$G67="",99999999,$G$2:$G67))=IF($G67="",99999999,$G67))),"")</f>
        <v/>
      </c>
    </row>
    <row r="68" customFormat="false" ht="15" hidden="false" customHeight="false" outlineLevel="0" collapsed="false">
      <c r="A68" s="9"/>
      <c r="B68" s="9"/>
      <c r="C68" s="10" t="str">
        <f aca="false">IF($B68="","",IFERROR(INDEX('Client Master'!$C:$C,MATCH($B68,'Client Master'!$B:$B,0)),"Code not found"))</f>
        <v/>
      </c>
      <c r="D68" s="9"/>
      <c r="E68" s="9"/>
      <c r="F68" s="9"/>
      <c r="G68" s="11"/>
      <c r="H68" s="11"/>
      <c r="I68" s="9"/>
      <c r="J68" s="12"/>
      <c r="K68" s="11"/>
      <c r="L68" s="9"/>
      <c r="N68" s="0" t="str">
        <f aca="false">IF(AND($J68&gt;0,$K68="",$A68&lt;&gt;""),SUMPRODUCT(($J$2:$J$600&gt;0)*($K$2:$K$600="")*($A$2:$A$600&lt;&gt;"")*((IF($G$2:$G$600="",99999999,$G$2:$G$600))&lt;IF($G68="",99999999,$G68)))+SUMPRODUCT(($J$2:$J68&gt;0)*($K$2:$K68="")*($A$2:$A68&lt;&gt;"")*((IF($G$2:$G68="",99999999,$G$2:$G68))=IF($G68="",99999999,$G68))),"")</f>
        <v/>
      </c>
      <c r="O68" s="0" t="str">
        <f aca="false">IF(AND($F68="Not Started",$A68&lt;&gt;""),SUMPRODUCT(($F$2:$F$600="Not Started")*($A$2:$A$600&lt;&gt;"")*((IF($G$2:$G$600="",99999999,$G$2:$G$600))&lt;IF($G68="",99999999,$G68)))+SUMPRODUCT(($F$2:$F68="Not Started")*($A$2:$A68&lt;&gt;"")*((IF($G$2:$G68="",99999999,$G$2:$G68))=IF($G68="",99999999,$G68))),"")</f>
        <v/>
      </c>
      <c r="P68" s="0" t="str">
        <f aca="false">IF(AND(OR($F68="In Progress",$F68="Pending Client Data",$F68="Under Review"),$A68&lt;&gt;""),SUMPRODUCT((($F$2:$F$600="In Progress")+($F$2:$F$600="Pending Client Data")+($F$2:$F$600="Under Review"))*($A$2:$A$600&lt;&gt;"")*((IF($G$2:$G$600="",99999999,$G$2:$G$600))&lt;IF($G68="",99999999,$G68)))+SUMPRODUCT((($F$2:$F68="In Progress")+($F$2:$F68="Pending Client Data")+($F$2:$F68="Under Review"))*($A$2:$A68&lt;&gt;"")*((IF($G$2:$G68="",99999999,$G$2:$G68))=IF($G68="",99999999,$G68))),"")</f>
        <v/>
      </c>
    </row>
    <row r="69" customFormat="false" ht="15" hidden="false" customHeight="false" outlineLevel="0" collapsed="false">
      <c r="A69" s="9"/>
      <c r="B69" s="9"/>
      <c r="C69" s="10" t="str">
        <f aca="false">IF($B69="","",IFERROR(INDEX('Client Master'!$C:$C,MATCH($B69,'Client Master'!$B:$B,0)),"Code not found"))</f>
        <v/>
      </c>
      <c r="D69" s="9"/>
      <c r="E69" s="9"/>
      <c r="F69" s="9"/>
      <c r="G69" s="11"/>
      <c r="H69" s="11"/>
      <c r="I69" s="9"/>
      <c r="J69" s="12"/>
      <c r="K69" s="11"/>
      <c r="L69" s="9"/>
      <c r="N69" s="0" t="str">
        <f aca="false">IF(AND($J69&gt;0,$K69="",$A69&lt;&gt;""),SUMPRODUCT(($J$2:$J$600&gt;0)*($K$2:$K$600="")*($A$2:$A$600&lt;&gt;"")*((IF($G$2:$G$600="",99999999,$G$2:$G$600))&lt;IF($G69="",99999999,$G69)))+SUMPRODUCT(($J$2:$J69&gt;0)*($K$2:$K69="")*($A$2:$A69&lt;&gt;"")*((IF($G$2:$G69="",99999999,$G$2:$G69))=IF($G69="",99999999,$G69))),"")</f>
        <v/>
      </c>
      <c r="O69" s="0" t="str">
        <f aca="false">IF(AND($F69="Not Started",$A69&lt;&gt;""),SUMPRODUCT(($F$2:$F$600="Not Started")*($A$2:$A$600&lt;&gt;"")*((IF($G$2:$G$600="",99999999,$G$2:$G$600))&lt;IF($G69="",99999999,$G69)))+SUMPRODUCT(($F$2:$F69="Not Started")*($A$2:$A69&lt;&gt;"")*((IF($G$2:$G69="",99999999,$G$2:$G69))=IF($G69="",99999999,$G69))),"")</f>
        <v/>
      </c>
      <c r="P69" s="0" t="str">
        <f aca="false">IF(AND(OR($F69="In Progress",$F69="Pending Client Data",$F69="Under Review"),$A69&lt;&gt;""),SUMPRODUCT((($F$2:$F$600="In Progress")+($F$2:$F$600="Pending Client Data")+($F$2:$F$600="Under Review"))*($A$2:$A$600&lt;&gt;"")*((IF($G$2:$G$600="",99999999,$G$2:$G$600))&lt;IF($G69="",99999999,$G69)))+SUMPRODUCT((($F$2:$F69="In Progress")+($F$2:$F69="Pending Client Data")+($F$2:$F69="Under Review"))*($A$2:$A69&lt;&gt;"")*((IF($G$2:$G69="",99999999,$G$2:$G69))=IF($G69="",99999999,$G69))),"")</f>
        <v/>
      </c>
    </row>
    <row r="70" customFormat="false" ht="15" hidden="false" customHeight="false" outlineLevel="0" collapsed="false">
      <c r="A70" s="9"/>
      <c r="B70" s="9"/>
      <c r="C70" s="10" t="str">
        <f aca="false">IF($B70="","",IFERROR(INDEX('Client Master'!$C:$C,MATCH($B70,'Client Master'!$B:$B,0)),"Code not found"))</f>
        <v/>
      </c>
      <c r="D70" s="9"/>
      <c r="E70" s="9"/>
      <c r="F70" s="9"/>
      <c r="G70" s="11"/>
      <c r="H70" s="11"/>
      <c r="I70" s="9"/>
      <c r="J70" s="12"/>
      <c r="K70" s="11"/>
      <c r="L70" s="9"/>
      <c r="N70" s="0" t="str">
        <f aca="false">IF(AND($J70&gt;0,$K70="",$A70&lt;&gt;""),SUMPRODUCT(($J$2:$J$600&gt;0)*($K$2:$K$600="")*($A$2:$A$600&lt;&gt;"")*((IF($G$2:$G$600="",99999999,$G$2:$G$600))&lt;IF($G70="",99999999,$G70)))+SUMPRODUCT(($J$2:$J70&gt;0)*($K$2:$K70="")*($A$2:$A70&lt;&gt;"")*((IF($G$2:$G70="",99999999,$G$2:$G70))=IF($G70="",99999999,$G70))),"")</f>
        <v/>
      </c>
      <c r="O70" s="0" t="str">
        <f aca="false">IF(AND($F70="Not Started",$A70&lt;&gt;""),SUMPRODUCT(($F$2:$F$600="Not Started")*($A$2:$A$600&lt;&gt;"")*((IF($G$2:$G$600="",99999999,$G$2:$G$600))&lt;IF($G70="",99999999,$G70)))+SUMPRODUCT(($F$2:$F70="Not Started")*($A$2:$A70&lt;&gt;"")*((IF($G$2:$G70="",99999999,$G$2:$G70))=IF($G70="",99999999,$G70))),"")</f>
        <v/>
      </c>
      <c r="P70" s="0" t="str">
        <f aca="false">IF(AND(OR($F70="In Progress",$F70="Pending Client Data",$F70="Under Review"),$A70&lt;&gt;""),SUMPRODUCT((($F$2:$F$600="In Progress")+($F$2:$F$600="Pending Client Data")+($F$2:$F$600="Under Review"))*($A$2:$A$600&lt;&gt;"")*((IF($G$2:$G$600="",99999999,$G$2:$G$600))&lt;IF($G70="",99999999,$G70)))+SUMPRODUCT((($F$2:$F70="In Progress")+($F$2:$F70="Pending Client Data")+($F$2:$F70="Under Review"))*($A$2:$A70&lt;&gt;"")*((IF($G$2:$G70="",99999999,$G$2:$G70))=IF($G70="",99999999,$G70))),"")</f>
        <v/>
      </c>
    </row>
    <row r="71" customFormat="false" ht="15" hidden="false" customHeight="false" outlineLevel="0" collapsed="false">
      <c r="A71" s="9"/>
      <c r="B71" s="9"/>
      <c r="C71" s="10" t="str">
        <f aca="false">IF($B71="","",IFERROR(INDEX('Client Master'!$C:$C,MATCH($B71,'Client Master'!$B:$B,0)),"Code not found"))</f>
        <v/>
      </c>
      <c r="D71" s="9"/>
      <c r="E71" s="9"/>
      <c r="F71" s="9"/>
      <c r="G71" s="11"/>
      <c r="H71" s="11"/>
      <c r="I71" s="9"/>
      <c r="J71" s="12"/>
      <c r="K71" s="11"/>
      <c r="L71" s="9"/>
      <c r="N71" s="0" t="str">
        <f aca="false">IF(AND($J71&gt;0,$K71="",$A71&lt;&gt;""),SUMPRODUCT(($J$2:$J$600&gt;0)*($K$2:$K$600="")*($A$2:$A$600&lt;&gt;"")*((IF($G$2:$G$600="",99999999,$G$2:$G$600))&lt;IF($G71="",99999999,$G71)))+SUMPRODUCT(($J$2:$J71&gt;0)*($K$2:$K71="")*($A$2:$A71&lt;&gt;"")*((IF($G$2:$G71="",99999999,$G$2:$G71))=IF($G71="",99999999,$G71))),"")</f>
        <v/>
      </c>
      <c r="O71" s="0" t="str">
        <f aca="false">IF(AND($F71="Not Started",$A71&lt;&gt;""),SUMPRODUCT(($F$2:$F$600="Not Started")*($A$2:$A$600&lt;&gt;"")*((IF($G$2:$G$600="",99999999,$G$2:$G$600))&lt;IF($G71="",99999999,$G71)))+SUMPRODUCT(($F$2:$F71="Not Started")*($A$2:$A71&lt;&gt;"")*((IF($G$2:$G71="",99999999,$G$2:$G71))=IF($G71="",99999999,$G71))),"")</f>
        <v/>
      </c>
      <c r="P71" s="0" t="str">
        <f aca="false">IF(AND(OR($F71="In Progress",$F71="Pending Client Data",$F71="Under Review"),$A71&lt;&gt;""),SUMPRODUCT((($F$2:$F$600="In Progress")+($F$2:$F$600="Pending Client Data")+($F$2:$F$600="Under Review"))*($A$2:$A$600&lt;&gt;"")*((IF($G$2:$G$600="",99999999,$G$2:$G$600))&lt;IF($G71="",99999999,$G71)))+SUMPRODUCT((($F$2:$F71="In Progress")+($F$2:$F71="Pending Client Data")+($F$2:$F71="Under Review"))*($A$2:$A71&lt;&gt;"")*((IF($G$2:$G71="",99999999,$G$2:$G71))=IF($G71="",99999999,$G71))),"")</f>
        <v/>
      </c>
    </row>
    <row r="72" customFormat="false" ht="15" hidden="false" customHeight="false" outlineLevel="0" collapsed="false">
      <c r="A72" s="9"/>
      <c r="B72" s="9"/>
      <c r="C72" s="10" t="str">
        <f aca="false">IF($B72="","",IFERROR(INDEX('Client Master'!$C:$C,MATCH($B72,'Client Master'!$B:$B,0)),"Code not found"))</f>
        <v/>
      </c>
      <c r="D72" s="9"/>
      <c r="E72" s="9"/>
      <c r="F72" s="9"/>
      <c r="G72" s="11"/>
      <c r="H72" s="11"/>
      <c r="I72" s="9"/>
      <c r="J72" s="12"/>
      <c r="K72" s="11"/>
      <c r="L72" s="9"/>
      <c r="N72" s="0" t="str">
        <f aca="false">IF(AND($J72&gt;0,$K72="",$A72&lt;&gt;""),SUMPRODUCT(($J$2:$J$600&gt;0)*($K$2:$K$600="")*($A$2:$A$600&lt;&gt;"")*((IF($G$2:$G$600="",99999999,$G$2:$G$600))&lt;IF($G72="",99999999,$G72)))+SUMPRODUCT(($J$2:$J72&gt;0)*($K$2:$K72="")*($A$2:$A72&lt;&gt;"")*((IF($G$2:$G72="",99999999,$G$2:$G72))=IF($G72="",99999999,$G72))),"")</f>
        <v/>
      </c>
      <c r="O72" s="0" t="str">
        <f aca="false">IF(AND($F72="Not Started",$A72&lt;&gt;""),SUMPRODUCT(($F$2:$F$600="Not Started")*($A$2:$A$600&lt;&gt;"")*((IF($G$2:$G$600="",99999999,$G$2:$G$600))&lt;IF($G72="",99999999,$G72)))+SUMPRODUCT(($F$2:$F72="Not Started")*($A$2:$A72&lt;&gt;"")*((IF($G$2:$G72="",99999999,$G$2:$G72))=IF($G72="",99999999,$G72))),"")</f>
        <v/>
      </c>
      <c r="P72" s="0" t="str">
        <f aca="false">IF(AND(OR($F72="In Progress",$F72="Pending Client Data",$F72="Under Review"),$A72&lt;&gt;""),SUMPRODUCT((($F$2:$F$600="In Progress")+($F$2:$F$600="Pending Client Data")+($F$2:$F$600="Under Review"))*($A$2:$A$600&lt;&gt;"")*((IF($G$2:$G$600="",99999999,$G$2:$G$600))&lt;IF($G72="",99999999,$G72)))+SUMPRODUCT((($F$2:$F72="In Progress")+($F$2:$F72="Pending Client Data")+($F$2:$F72="Under Review"))*($A$2:$A72&lt;&gt;"")*((IF($G$2:$G72="",99999999,$G$2:$G72))=IF($G72="",99999999,$G72))),"")</f>
        <v/>
      </c>
    </row>
    <row r="73" customFormat="false" ht="15" hidden="false" customHeight="false" outlineLevel="0" collapsed="false">
      <c r="A73" s="9"/>
      <c r="B73" s="9"/>
      <c r="C73" s="10" t="str">
        <f aca="false">IF($B73="","",IFERROR(INDEX('Client Master'!$C:$C,MATCH($B73,'Client Master'!$B:$B,0)),"Code not found"))</f>
        <v/>
      </c>
      <c r="D73" s="9"/>
      <c r="E73" s="9"/>
      <c r="F73" s="9"/>
      <c r="G73" s="11"/>
      <c r="H73" s="11"/>
      <c r="I73" s="9"/>
      <c r="J73" s="12"/>
      <c r="K73" s="11"/>
      <c r="L73" s="9"/>
      <c r="N73" s="0" t="str">
        <f aca="false">IF(AND($J73&gt;0,$K73="",$A73&lt;&gt;""),SUMPRODUCT(($J$2:$J$600&gt;0)*($K$2:$K$600="")*($A$2:$A$600&lt;&gt;"")*((IF($G$2:$G$600="",99999999,$G$2:$G$600))&lt;IF($G73="",99999999,$G73)))+SUMPRODUCT(($J$2:$J73&gt;0)*($K$2:$K73="")*($A$2:$A73&lt;&gt;"")*((IF($G$2:$G73="",99999999,$G$2:$G73))=IF($G73="",99999999,$G73))),"")</f>
        <v/>
      </c>
      <c r="O73" s="0" t="str">
        <f aca="false">IF(AND($F73="Not Started",$A73&lt;&gt;""),SUMPRODUCT(($F$2:$F$600="Not Started")*($A$2:$A$600&lt;&gt;"")*((IF($G$2:$G$600="",99999999,$G$2:$G$600))&lt;IF($G73="",99999999,$G73)))+SUMPRODUCT(($F$2:$F73="Not Started")*($A$2:$A73&lt;&gt;"")*((IF($G$2:$G73="",99999999,$G$2:$G73))=IF($G73="",99999999,$G73))),"")</f>
        <v/>
      </c>
      <c r="P73" s="0" t="str">
        <f aca="false">IF(AND(OR($F73="In Progress",$F73="Pending Client Data",$F73="Under Review"),$A73&lt;&gt;""),SUMPRODUCT((($F$2:$F$600="In Progress")+($F$2:$F$600="Pending Client Data")+($F$2:$F$600="Under Review"))*($A$2:$A$600&lt;&gt;"")*((IF($G$2:$G$600="",99999999,$G$2:$G$600))&lt;IF($G73="",99999999,$G73)))+SUMPRODUCT((($F$2:$F73="In Progress")+($F$2:$F73="Pending Client Data")+($F$2:$F73="Under Review"))*($A$2:$A73&lt;&gt;"")*((IF($G$2:$G73="",99999999,$G$2:$G73))=IF($G73="",99999999,$G73))),"")</f>
        <v/>
      </c>
    </row>
    <row r="74" customFormat="false" ht="15" hidden="false" customHeight="false" outlineLevel="0" collapsed="false">
      <c r="A74" s="9"/>
      <c r="B74" s="9"/>
      <c r="C74" s="10" t="str">
        <f aca="false">IF($B74="","",IFERROR(INDEX('Client Master'!$C:$C,MATCH($B74,'Client Master'!$B:$B,0)),"Code not found"))</f>
        <v/>
      </c>
      <c r="D74" s="9"/>
      <c r="E74" s="9"/>
      <c r="F74" s="9"/>
      <c r="G74" s="11"/>
      <c r="H74" s="11"/>
      <c r="I74" s="9"/>
      <c r="J74" s="12"/>
      <c r="K74" s="11"/>
      <c r="L74" s="9"/>
      <c r="N74" s="0" t="str">
        <f aca="false">IF(AND($J74&gt;0,$K74="",$A74&lt;&gt;""),SUMPRODUCT(($J$2:$J$600&gt;0)*($K$2:$K$600="")*($A$2:$A$600&lt;&gt;"")*((IF($G$2:$G$600="",99999999,$G$2:$G$600))&lt;IF($G74="",99999999,$G74)))+SUMPRODUCT(($J$2:$J74&gt;0)*($K$2:$K74="")*($A$2:$A74&lt;&gt;"")*((IF($G$2:$G74="",99999999,$G$2:$G74))=IF($G74="",99999999,$G74))),"")</f>
        <v/>
      </c>
      <c r="O74" s="0" t="str">
        <f aca="false">IF(AND($F74="Not Started",$A74&lt;&gt;""),SUMPRODUCT(($F$2:$F$600="Not Started")*($A$2:$A$600&lt;&gt;"")*((IF($G$2:$G$600="",99999999,$G$2:$G$600))&lt;IF($G74="",99999999,$G74)))+SUMPRODUCT(($F$2:$F74="Not Started")*($A$2:$A74&lt;&gt;"")*((IF($G$2:$G74="",99999999,$G$2:$G74))=IF($G74="",99999999,$G74))),"")</f>
        <v/>
      </c>
      <c r="P74" s="0" t="str">
        <f aca="false">IF(AND(OR($F74="In Progress",$F74="Pending Client Data",$F74="Under Review"),$A74&lt;&gt;""),SUMPRODUCT((($F$2:$F$600="In Progress")+($F$2:$F$600="Pending Client Data")+($F$2:$F$600="Under Review"))*($A$2:$A$600&lt;&gt;"")*((IF($G$2:$G$600="",99999999,$G$2:$G$600))&lt;IF($G74="",99999999,$G74)))+SUMPRODUCT((($F$2:$F74="In Progress")+($F$2:$F74="Pending Client Data")+($F$2:$F74="Under Review"))*($A$2:$A74&lt;&gt;"")*((IF($G$2:$G74="",99999999,$G$2:$G74))=IF($G74="",99999999,$G74))),"")</f>
        <v/>
      </c>
    </row>
    <row r="75" customFormat="false" ht="15" hidden="false" customHeight="false" outlineLevel="0" collapsed="false">
      <c r="A75" s="9"/>
      <c r="B75" s="9"/>
      <c r="C75" s="10" t="str">
        <f aca="false">IF($B75="","",IFERROR(INDEX('Client Master'!$C:$C,MATCH($B75,'Client Master'!$B:$B,0)),"Code not found"))</f>
        <v/>
      </c>
      <c r="D75" s="9"/>
      <c r="E75" s="9"/>
      <c r="F75" s="9"/>
      <c r="G75" s="11"/>
      <c r="H75" s="11"/>
      <c r="I75" s="9"/>
      <c r="J75" s="12"/>
      <c r="K75" s="11"/>
      <c r="L75" s="9"/>
      <c r="N75" s="0" t="str">
        <f aca="false">IF(AND($J75&gt;0,$K75="",$A75&lt;&gt;""),SUMPRODUCT(($J$2:$J$600&gt;0)*($K$2:$K$600="")*($A$2:$A$600&lt;&gt;"")*((IF($G$2:$G$600="",99999999,$G$2:$G$600))&lt;IF($G75="",99999999,$G75)))+SUMPRODUCT(($J$2:$J75&gt;0)*($K$2:$K75="")*($A$2:$A75&lt;&gt;"")*((IF($G$2:$G75="",99999999,$G$2:$G75))=IF($G75="",99999999,$G75))),"")</f>
        <v/>
      </c>
      <c r="O75" s="0" t="str">
        <f aca="false">IF(AND($F75="Not Started",$A75&lt;&gt;""),SUMPRODUCT(($F$2:$F$600="Not Started")*($A$2:$A$600&lt;&gt;"")*((IF($G$2:$G$600="",99999999,$G$2:$G$600))&lt;IF($G75="",99999999,$G75)))+SUMPRODUCT(($F$2:$F75="Not Started")*($A$2:$A75&lt;&gt;"")*((IF($G$2:$G75="",99999999,$G$2:$G75))=IF($G75="",99999999,$G75))),"")</f>
        <v/>
      </c>
      <c r="P75" s="0" t="str">
        <f aca="false">IF(AND(OR($F75="In Progress",$F75="Pending Client Data",$F75="Under Review"),$A75&lt;&gt;""),SUMPRODUCT((($F$2:$F$600="In Progress")+($F$2:$F$600="Pending Client Data")+($F$2:$F$600="Under Review"))*($A$2:$A$600&lt;&gt;"")*((IF($G$2:$G$600="",99999999,$G$2:$G$600))&lt;IF($G75="",99999999,$G75)))+SUMPRODUCT((($F$2:$F75="In Progress")+($F$2:$F75="Pending Client Data")+($F$2:$F75="Under Review"))*($A$2:$A75&lt;&gt;"")*((IF($G$2:$G75="",99999999,$G$2:$G75))=IF($G75="",99999999,$G75))),"")</f>
        <v/>
      </c>
    </row>
    <row r="76" customFormat="false" ht="15" hidden="false" customHeight="false" outlineLevel="0" collapsed="false">
      <c r="A76" s="9"/>
      <c r="B76" s="9"/>
      <c r="C76" s="10" t="str">
        <f aca="false">IF($B76="","",IFERROR(INDEX('Client Master'!$C:$C,MATCH($B76,'Client Master'!$B:$B,0)),"Code not found"))</f>
        <v/>
      </c>
      <c r="D76" s="9"/>
      <c r="E76" s="9"/>
      <c r="F76" s="9"/>
      <c r="G76" s="11"/>
      <c r="H76" s="11"/>
      <c r="I76" s="9"/>
      <c r="J76" s="12"/>
      <c r="K76" s="11"/>
      <c r="L76" s="9"/>
      <c r="N76" s="0" t="str">
        <f aca="false">IF(AND($J76&gt;0,$K76="",$A76&lt;&gt;""),SUMPRODUCT(($J$2:$J$600&gt;0)*($K$2:$K$600="")*($A$2:$A$600&lt;&gt;"")*((IF($G$2:$G$600="",99999999,$G$2:$G$600))&lt;IF($G76="",99999999,$G76)))+SUMPRODUCT(($J$2:$J76&gt;0)*($K$2:$K76="")*($A$2:$A76&lt;&gt;"")*((IF($G$2:$G76="",99999999,$G$2:$G76))=IF($G76="",99999999,$G76))),"")</f>
        <v/>
      </c>
      <c r="O76" s="0" t="str">
        <f aca="false">IF(AND($F76="Not Started",$A76&lt;&gt;""),SUMPRODUCT(($F$2:$F$600="Not Started")*($A$2:$A$600&lt;&gt;"")*((IF($G$2:$G$600="",99999999,$G$2:$G$600))&lt;IF($G76="",99999999,$G76)))+SUMPRODUCT(($F$2:$F76="Not Started")*($A$2:$A76&lt;&gt;"")*((IF($G$2:$G76="",99999999,$G$2:$G76))=IF($G76="",99999999,$G76))),"")</f>
        <v/>
      </c>
      <c r="P76" s="0" t="str">
        <f aca="false">IF(AND(OR($F76="In Progress",$F76="Pending Client Data",$F76="Under Review"),$A76&lt;&gt;""),SUMPRODUCT((($F$2:$F$600="In Progress")+($F$2:$F$600="Pending Client Data")+($F$2:$F$600="Under Review"))*($A$2:$A$600&lt;&gt;"")*((IF($G$2:$G$600="",99999999,$G$2:$G$600))&lt;IF($G76="",99999999,$G76)))+SUMPRODUCT((($F$2:$F76="In Progress")+($F$2:$F76="Pending Client Data")+($F$2:$F76="Under Review"))*($A$2:$A76&lt;&gt;"")*((IF($G$2:$G76="",99999999,$G$2:$G76))=IF($G76="",99999999,$G76))),"")</f>
        <v/>
      </c>
    </row>
    <row r="77" customFormat="false" ht="15" hidden="false" customHeight="false" outlineLevel="0" collapsed="false">
      <c r="A77" s="9"/>
      <c r="B77" s="9"/>
      <c r="C77" s="10" t="str">
        <f aca="false">IF($B77="","",IFERROR(INDEX('Client Master'!$C:$C,MATCH($B77,'Client Master'!$B:$B,0)),"Code not found"))</f>
        <v/>
      </c>
      <c r="D77" s="9"/>
      <c r="E77" s="9"/>
      <c r="F77" s="9"/>
      <c r="G77" s="11"/>
      <c r="H77" s="11"/>
      <c r="I77" s="9"/>
      <c r="J77" s="12"/>
      <c r="K77" s="11"/>
      <c r="L77" s="9"/>
      <c r="N77" s="0" t="str">
        <f aca="false">IF(AND($J77&gt;0,$K77="",$A77&lt;&gt;""),SUMPRODUCT(($J$2:$J$600&gt;0)*($K$2:$K$600="")*($A$2:$A$600&lt;&gt;"")*((IF($G$2:$G$600="",99999999,$G$2:$G$600))&lt;IF($G77="",99999999,$G77)))+SUMPRODUCT(($J$2:$J77&gt;0)*($K$2:$K77="")*($A$2:$A77&lt;&gt;"")*((IF($G$2:$G77="",99999999,$G$2:$G77))=IF($G77="",99999999,$G77))),"")</f>
        <v/>
      </c>
      <c r="O77" s="0" t="str">
        <f aca="false">IF(AND($F77="Not Started",$A77&lt;&gt;""),SUMPRODUCT(($F$2:$F$600="Not Started")*($A$2:$A$600&lt;&gt;"")*((IF($G$2:$G$600="",99999999,$G$2:$G$600))&lt;IF($G77="",99999999,$G77)))+SUMPRODUCT(($F$2:$F77="Not Started")*($A$2:$A77&lt;&gt;"")*((IF($G$2:$G77="",99999999,$G$2:$G77))=IF($G77="",99999999,$G77))),"")</f>
        <v/>
      </c>
      <c r="P77" s="0" t="str">
        <f aca="false">IF(AND(OR($F77="In Progress",$F77="Pending Client Data",$F77="Under Review"),$A77&lt;&gt;""),SUMPRODUCT((($F$2:$F$600="In Progress")+($F$2:$F$600="Pending Client Data")+($F$2:$F$600="Under Review"))*($A$2:$A$600&lt;&gt;"")*((IF($G$2:$G$600="",99999999,$G$2:$G$600))&lt;IF($G77="",99999999,$G77)))+SUMPRODUCT((($F$2:$F77="In Progress")+($F$2:$F77="Pending Client Data")+($F$2:$F77="Under Review"))*($A$2:$A77&lt;&gt;"")*((IF($G$2:$G77="",99999999,$G$2:$G77))=IF($G77="",99999999,$G77))),"")</f>
        <v/>
      </c>
    </row>
    <row r="78" customFormat="false" ht="15" hidden="false" customHeight="false" outlineLevel="0" collapsed="false">
      <c r="A78" s="9"/>
      <c r="B78" s="9"/>
      <c r="C78" s="10" t="str">
        <f aca="false">IF($B78="","",IFERROR(INDEX('Client Master'!$C:$C,MATCH($B78,'Client Master'!$B:$B,0)),"Code not found"))</f>
        <v/>
      </c>
      <c r="D78" s="9"/>
      <c r="E78" s="9"/>
      <c r="F78" s="9"/>
      <c r="G78" s="11"/>
      <c r="H78" s="11"/>
      <c r="I78" s="9"/>
      <c r="J78" s="12"/>
      <c r="K78" s="11"/>
      <c r="L78" s="9"/>
      <c r="N78" s="0" t="str">
        <f aca="false">IF(AND($J78&gt;0,$K78="",$A78&lt;&gt;""),SUMPRODUCT(($J$2:$J$600&gt;0)*($K$2:$K$600="")*($A$2:$A$600&lt;&gt;"")*((IF($G$2:$G$600="",99999999,$G$2:$G$600))&lt;IF($G78="",99999999,$G78)))+SUMPRODUCT(($J$2:$J78&gt;0)*($K$2:$K78="")*($A$2:$A78&lt;&gt;"")*((IF($G$2:$G78="",99999999,$G$2:$G78))=IF($G78="",99999999,$G78))),"")</f>
        <v/>
      </c>
      <c r="O78" s="0" t="str">
        <f aca="false">IF(AND($F78="Not Started",$A78&lt;&gt;""),SUMPRODUCT(($F$2:$F$600="Not Started")*($A$2:$A$600&lt;&gt;"")*((IF($G$2:$G$600="",99999999,$G$2:$G$600))&lt;IF($G78="",99999999,$G78)))+SUMPRODUCT(($F$2:$F78="Not Started")*($A$2:$A78&lt;&gt;"")*((IF($G$2:$G78="",99999999,$G$2:$G78))=IF($G78="",99999999,$G78))),"")</f>
        <v/>
      </c>
      <c r="P78" s="0" t="str">
        <f aca="false">IF(AND(OR($F78="In Progress",$F78="Pending Client Data",$F78="Under Review"),$A78&lt;&gt;""),SUMPRODUCT((($F$2:$F$600="In Progress")+($F$2:$F$600="Pending Client Data")+($F$2:$F$600="Under Review"))*($A$2:$A$600&lt;&gt;"")*((IF($G$2:$G$600="",99999999,$G$2:$G$600))&lt;IF($G78="",99999999,$G78)))+SUMPRODUCT((($F$2:$F78="In Progress")+($F$2:$F78="Pending Client Data")+($F$2:$F78="Under Review"))*($A$2:$A78&lt;&gt;"")*((IF($G$2:$G78="",99999999,$G$2:$G78))=IF($G78="",99999999,$G78))),"")</f>
        <v/>
      </c>
    </row>
    <row r="79" customFormat="false" ht="15" hidden="false" customHeight="false" outlineLevel="0" collapsed="false">
      <c r="A79" s="9"/>
      <c r="B79" s="9"/>
      <c r="C79" s="10" t="str">
        <f aca="false">IF($B79="","",IFERROR(INDEX('Client Master'!$C:$C,MATCH($B79,'Client Master'!$B:$B,0)),"Code not found"))</f>
        <v/>
      </c>
      <c r="D79" s="9"/>
      <c r="E79" s="9"/>
      <c r="F79" s="9"/>
      <c r="G79" s="11"/>
      <c r="H79" s="11"/>
      <c r="I79" s="9"/>
      <c r="J79" s="12"/>
      <c r="K79" s="11"/>
      <c r="L79" s="9"/>
      <c r="N79" s="0" t="str">
        <f aca="false">IF(AND($J79&gt;0,$K79="",$A79&lt;&gt;""),SUMPRODUCT(($J$2:$J$600&gt;0)*($K$2:$K$600="")*($A$2:$A$600&lt;&gt;"")*((IF($G$2:$G$600="",99999999,$G$2:$G$600))&lt;IF($G79="",99999999,$G79)))+SUMPRODUCT(($J$2:$J79&gt;0)*($K$2:$K79="")*($A$2:$A79&lt;&gt;"")*((IF($G$2:$G79="",99999999,$G$2:$G79))=IF($G79="",99999999,$G79))),"")</f>
        <v/>
      </c>
      <c r="O79" s="0" t="str">
        <f aca="false">IF(AND($F79="Not Started",$A79&lt;&gt;""),SUMPRODUCT(($F$2:$F$600="Not Started")*($A$2:$A$600&lt;&gt;"")*((IF($G$2:$G$600="",99999999,$G$2:$G$600))&lt;IF($G79="",99999999,$G79)))+SUMPRODUCT(($F$2:$F79="Not Started")*($A$2:$A79&lt;&gt;"")*((IF($G$2:$G79="",99999999,$G$2:$G79))=IF($G79="",99999999,$G79))),"")</f>
        <v/>
      </c>
      <c r="P79" s="0" t="str">
        <f aca="false">IF(AND(OR($F79="In Progress",$F79="Pending Client Data",$F79="Under Review"),$A79&lt;&gt;""),SUMPRODUCT((($F$2:$F$600="In Progress")+($F$2:$F$600="Pending Client Data")+($F$2:$F$600="Under Review"))*($A$2:$A$600&lt;&gt;"")*((IF($G$2:$G$600="",99999999,$G$2:$G$600))&lt;IF($G79="",99999999,$G79)))+SUMPRODUCT((($F$2:$F79="In Progress")+($F$2:$F79="Pending Client Data")+($F$2:$F79="Under Review"))*($A$2:$A79&lt;&gt;"")*((IF($G$2:$G79="",99999999,$G$2:$G79))=IF($G79="",99999999,$G79))),"")</f>
        <v/>
      </c>
    </row>
    <row r="80" customFormat="false" ht="15" hidden="false" customHeight="false" outlineLevel="0" collapsed="false">
      <c r="A80" s="9"/>
      <c r="B80" s="9"/>
      <c r="C80" s="10" t="str">
        <f aca="false">IF($B80="","",IFERROR(INDEX('Client Master'!$C:$C,MATCH($B80,'Client Master'!$B:$B,0)),"Code not found"))</f>
        <v/>
      </c>
      <c r="D80" s="9"/>
      <c r="E80" s="9"/>
      <c r="F80" s="9"/>
      <c r="G80" s="11"/>
      <c r="H80" s="11"/>
      <c r="I80" s="9"/>
      <c r="J80" s="12"/>
      <c r="K80" s="11"/>
      <c r="L80" s="9"/>
      <c r="N80" s="0" t="str">
        <f aca="false">IF(AND($J80&gt;0,$K80="",$A80&lt;&gt;""),SUMPRODUCT(($J$2:$J$600&gt;0)*($K$2:$K$600="")*($A$2:$A$600&lt;&gt;"")*((IF($G$2:$G$600="",99999999,$G$2:$G$600))&lt;IF($G80="",99999999,$G80)))+SUMPRODUCT(($J$2:$J80&gt;0)*($K$2:$K80="")*($A$2:$A80&lt;&gt;"")*((IF($G$2:$G80="",99999999,$G$2:$G80))=IF($G80="",99999999,$G80))),"")</f>
        <v/>
      </c>
      <c r="O80" s="0" t="str">
        <f aca="false">IF(AND($F80="Not Started",$A80&lt;&gt;""),SUMPRODUCT(($F$2:$F$600="Not Started")*($A$2:$A$600&lt;&gt;"")*((IF($G$2:$G$600="",99999999,$G$2:$G$600))&lt;IF($G80="",99999999,$G80)))+SUMPRODUCT(($F$2:$F80="Not Started")*($A$2:$A80&lt;&gt;"")*((IF($G$2:$G80="",99999999,$G$2:$G80))=IF($G80="",99999999,$G80))),"")</f>
        <v/>
      </c>
      <c r="P80" s="0" t="str">
        <f aca="false">IF(AND(OR($F80="In Progress",$F80="Pending Client Data",$F80="Under Review"),$A80&lt;&gt;""),SUMPRODUCT((($F$2:$F$600="In Progress")+($F$2:$F$600="Pending Client Data")+($F$2:$F$600="Under Review"))*($A$2:$A$600&lt;&gt;"")*((IF($G$2:$G$600="",99999999,$G$2:$G$600))&lt;IF($G80="",99999999,$G80)))+SUMPRODUCT((($F$2:$F80="In Progress")+($F$2:$F80="Pending Client Data")+($F$2:$F80="Under Review"))*($A$2:$A80&lt;&gt;"")*((IF($G$2:$G80="",99999999,$G$2:$G80))=IF($G80="",99999999,$G80))),"")</f>
        <v/>
      </c>
    </row>
    <row r="81" customFormat="false" ht="15" hidden="false" customHeight="false" outlineLevel="0" collapsed="false">
      <c r="A81" s="9"/>
      <c r="B81" s="9"/>
      <c r="C81" s="10" t="str">
        <f aca="false">IF($B81="","",IFERROR(INDEX('Client Master'!$C:$C,MATCH($B81,'Client Master'!$B:$B,0)),"Code not found"))</f>
        <v/>
      </c>
      <c r="D81" s="9"/>
      <c r="E81" s="9"/>
      <c r="F81" s="9"/>
      <c r="G81" s="11"/>
      <c r="H81" s="11"/>
      <c r="I81" s="9"/>
      <c r="J81" s="12"/>
      <c r="K81" s="11"/>
      <c r="L81" s="9"/>
      <c r="N81" s="0" t="str">
        <f aca="false">IF(AND($J81&gt;0,$K81="",$A81&lt;&gt;""),SUMPRODUCT(($J$2:$J$600&gt;0)*($K$2:$K$600="")*($A$2:$A$600&lt;&gt;"")*((IF($G$2:$G$600="",99999999,$G$2:$G$600))&lt;IF($G81="",99999999,$G81)))+SUMPRODUCT(($J$2:$J81&gt;0)*($K$2:$K81="")*($A$2:$A81&lt;&gt;"")*((IF($G$2:$G81="",99999999,$G$2:$G81))=IF($G81="",99999999,$G81))),"")</f>
        <v/>
      </c>
      <c r="O81" s="0" t="str">
        <f aca="false">IF(AND($F81="Not Started",$A81&lt;&gt;""),SUMPRODUCT(($F$2:$F$600="Not Started")*($A$2:$A$600&lt;&gt;"")*((IF($G$2:$G$600="",99999999,$G$2:$G$600))&lt;IF($G81="",99999999,$G81)))+SUMPRODUCT(($F$2:$F81="Not Started")*($A$2:$A81&lt;&gt;"")*((IF($G$2:$G81="",99999999,$G$2:$G81))=IF($G81="",99999999,$G81))),"")</f>
        <v/>
      </c>
      <c r="P81" s="0" t="str">
        <f aca="false">IF(AND(OR($F81="In Progress",$F81="Pending Client Data",$F81="Under Review"),$A81&lt;&gt;""),SUMPRODUCT((($F$2:$F$600="In Progress")+($F$2:$F$600="Pending Client Data")+($F$2:$F$600="Under Review"))*($A$2:$A$600&lt;&gt;"")*((IF($G$2:$G$600="",99999999,$G$2:$G$600))&lt;IF($G81="",99999999,$G81)))+SUMPRODUCT((($F$2:$F81="In Progress")+($F$2:$F81="Pending Client Data")+($F$2:$F81="Under Review"))*($A$2:$A81&lt;&gt;"")*((IF($G$2:$G81="",99999999,$G$2:$G81))=IF($G81="",99999999,$G81))),"")</f>
        <v/>
      </c>
    </row>
    <row r="82" customFormat="false" ht="15" hidden="false" customHeight="false" outlineLevel="0" collapsed="false">
      <c r="A82" s="9"/>
      <c r="B82" s="9"/>
      <c r="C82" s="10" t="str">
        <f aca="false">IF($B82="","",IFERROR(INDEX('Client Master'!$C:$C,MATCH($B82,'Client Master'!$B:$B,0)),"Code not found"))</f>
        <v/>
      </c>
      <c r="D82" s="9"/>
      <c r="E82" s="9"/>
      <c r="F82" s="9"/>
      <c r="G82" s="11"/>
      <c r="H82" s="11"/>
      <c r="I82" s="9"/>
      <c r="J82" s="12"/>
      <c r="K82" s="11"/>
      <c r="L82" s="9"/>
      <c r="N82" s="0" t="str">
        <f aca="false">IF(AND($J82&gt;0,$K82="",$A82&lt;&gt;""),SUMPRODUCT(($J$2:$J$600&gt;0)*($K$2:$K$600="")*($A$2:$A$600&lt;&gt;"")*((IF($G$2:$G$600="",99999999,$G$2:$G$600))&lt;IF($G82="",99999999,$G82)))+SUMPRODUCT(($J$2:$J82&gt;0)*($K$2:$K82="")*($A$2:$A82&lt;&gt;"")*((IF($G$2:$G82="",99999999,$G$2:$G82))=IF($G82="",99999999,$G82))),"")</f>
        <v/>
      </c>
      <c r="O82" s="0" t="str">
        <f aca="false">IF(AND($F82="Not Started",$A82&lt;&gt;""),SUMPRODUCT(($F$2:$F$600="Not Started")*($A$2:$A$600&lt;&gt;"")*((IF($G$2:$G$600="",99999999,$G$2:$G$600))&lt;IF($G82="",99999999,$G82)))+SUMPRODUCT(($F$2:$F82="Not Started")*($A$2:$A82&lt;&gt;"")*((IF($G$2:$G82="",99999999,$G$2:$G82))=IF($G82="",99999999,$G82))),"")</f>
        <v/>
      </c>
      <c r="P82" s="0" t="str">
        <f aca="false">IF(AND(OR($F82="In Progress",$F82="Pending Client Data",$F82="Under Review"),$A82&lt;&gt;""),SUMPRODUCT((($F$2:$F$600="In Progress")+($F$2:$F$600="Pending Client Data")+($F$2:$F$600="Under Review"))*($A$2:$A$600&lt;&gt;"")*((IF($G$2:$G$600="",99999999,$G$2:$G$600))&lt;IF($G82="",99999999,$G82)))+SUMPRODUCT((($F$2:$F82="In Progress")+($F$2:$F82="Pending Client Data")+($F$2:$F82="Under Review"))*($A$2:$A82&lt;&gt;"")*((IF($G$2:$G82="",99999999,$G$2:$G82))=IF($G82="",99999999,$G82))),"")</f>
        <v/>
      </c>
    </row>
    <row r="83" customFormat="false" ht="15" hidden="false" customHeight="false" outlineLevel="0" collapsed="false">
      <c r="A83" s="9"/>
      <c r="B83" s="9"/>
      <c r="C83" s="10" t="str">
        <f aca="false">IF($B83="","",IFERROR(INDEX('Client Master'!$C:$C,MATCH($B83,'Client Master'!$B:$B,0)),"Code not found"))</f>
        <v/>
      </c>
      <c r="D83" s="9"/>
      <c r="E83" s="9"/>
      <c r="F83" s="9"/>
      <c r="G83" s="11"/>
      <c r="H83" s="11"/>
      <c r="I83" s="9"/>
      <c r="J83" s="12"/>
      <c r="K83" s="11"/>
      <c r="L83" s="9"/>
      <c r="N83" s="0" t="str">
        <f aca="false">IF(AND($J83&gt;0,$K83="",$A83&lt;&gt;""),SUMPRODUCT(($J$2:$J$600&gt;0)*($K$2:$K$600="")*($A$2:$A$600&lt;&gt;"")*((IF($G$2:$G$600="",99999999,$G$2:$G$600))&lt;IF($G83="",99999999,$G83)))+SUMPRODUCT(($J$2:$J83&gt;0)*($K$2:$K83="")*($A$2:$A83&lt;&gt;"")*((IF($G$2:$G83="",99999999,$G$2:$G83))=IF($G83="",99999999,$G83))),"")</f>
        <v/>
      </c>
      <c r="O83" s="0" t="str">
        <f aca="false">IF(AND($F83="Not Started",$A83&lt;&gt;""),SUMPRODUCT(($F$2:$F$600="Not Started")*($A$2:$A$600&lt;&gt;"")*((IF($G$2:$G$600="",99999999,$G$2:$G$600))&lt;IF($G83="",99999999,$G83)))+SUMPRODUCT(($F$2:$F83="Not Started")*($A$2:$A83&lt;&gt;"")*((IF($G$2:$G83="",99999999,$G$2:$G83))=IF($G83="",99999999,$G83))),"")</f>
        <v/>
      </c>
      <c r="P83" s="0" t="str">
        <f aca="false">IF(AND(OR($F83="In Progress",$F83="Pending Client Data",$F83="Under Review"),$A83&lt;&gt;""),SUMPRODUCT((($F$2:$F$600="In Progress")+($F$2:$F$600="Pending Client Data")+($F$2:$F$600="Under Review"))*($A$2:$A$600&lt;&gt;"")*((IF($G$2:$G$600="",99999999,$G$2:$G$600))&lt;IF($G83="",99999999,$G83)))+SUMPRODUCT((($F$2:$F83="In Progress")+($F$2:$F83="Pending Client Data")+($F$2:$F83="Under Review"))*($A$2:$A83&lt;&gt;"")*((IF($G$2:$G83="",99999999,$G$2:$G83))=IF($G83="",99999999,$G83))),"")</f>
        <v/>
      </c>
    </row>
    <row r="84" customFormat="false" ht="15" hidden="false" customHeight="false" outlineLevel="0" collapsed="false">
      <c r="A84" s="9"/>
      <c r="B84" s="9"/>
      <c r="C84" s="10" t="str">
        <f aca="false">IF($B84="","",IFERROR(INDEX('Client Master'!$C:$C,MATCH($B84,'Client Master'!$B:$B,0)),"Code not found"))</f>
        <v/>
      </c>
      <c r="D84" s="9"/>
      <c r="E84" s="9"/>
      <c r="F84" s="9"/>
      <c r="G84" s="11"/>
      <c r="H84" s="11"/>
      <c r="I84" s="9"/>
      <c r="J84" s="12"/>
      <c r="K84" s="11"/>
      <c r="L84" s="9"/>
      <c r="N84" s="0" t="str">
        <f aca="false">IF(AND($J84&gt;0,$K84="",$A84&lt;&gt;""),SUMPRODUCT(($J$2:$J$600&gt;0)*($K$2:$K$600="")*($A$2:$A$600&lt;&gt;"")*((IF($G$2:$G$600="",99999999,$G$2:$G$600))&lt;IF($G84="",99999999,$G84)))+SUMPRODUCT(($J$2:$J84&gt;0)*($K$2:$K84="")*($A$2:$A84&lt;&gt;"")*((IF($G$2:$G84="",99999999,$G$2:$G84))=IF($G84="",99999999,$G84))),"")</f>
        <v/>
      </c>
      <c r="O84" s="0" t="str">
        <f aca="false">IF(AND($F84="Not Started",$A84&lt;&gt;""),SUMPRODUCT(($F$2:$F$600="Not Started")*($A$2:$A$600&lt;&gt;"")*((IF($G$2:$G$600="",99999999,$G$2:$G$600))&lt;IF($G84="",99999999,$G84)))+SUMPRODUCT(($F$2:$F84="Not Started")*($A$2:$A84&lt;&gt;"")*((IF($G$2:$G84="",99999999,$G$2:$G84))=IF($G84="",99999999,$G84))),"")</f>
        <v/>
      </c>
      <c r="P84" s="0" t="str">
        <f aca="false">IF(AND(OR($F84="In Progress",$F84="Pending Client Data",$F84="Under Review"),$A84&lt;&gt;""),SUMPRODUCT((($F$2:$F$600="In Progress")+($F$2:$F$600="Pending Client Data")+($F$2:$F$600="Under Review"))*($A$2:$A$600&lt;&gt;"")*((IF($G$2:$G$600="",99999999,$G$2:$G$600))&lt;IF($G84="",99999999,$G84)))+SUMPRODUCT((($F$2:$F84="In Progress")+($F$2:$F84="Pending Client Data")+($F$2:$F84="Under Review"))*($A$2:$A84&lt;&gt;"")*((IF($G$2:$G84="",99999999,$G$2:$G84))=IF($G84="",99999999,$G84))),"")</f>
        <v/>
      </c>
    </row>
    <row r="85" customFormat="false" ht="15" hidden="false" customHeight="false" outlineLevel="0" collapsed="false">
      <c r="A85" s="9"/>
      <c r="B85" s="9"/>
      <c r="C85" s="10" t="str">
        <f aca="false">IF($B85="","",IFERROR(INDEX('Client Master'!$C:$C,MATCH($B85,'Client Master'!$B:$B,0)),"Code not found"))</f>
        <v/>
      </c>
      <c r="D85" s="9"/>
      <c r="E85" s="9"/>
      <c r="F85" s="9"/>
      <c r="G85" s="11"/>
      <c r="H85" s="11"/>
      <c r="I85" s="9"/>
      <c r="J85" s="12"/>
      <c r="K85" s="11"/>
      <c r="L85" s="9"/>
      <c r="N85" s="0" t="str">
        <f aca="false">IF(AND($J85&gt;0,$K85="",$A85&lt;&gt;""),SUMPRODUCT(($J$2:$J$600&gt;0)*($K$2:$K$600="")*($A$2:$A$600&lt;&gt;"")*((IF($G$2:$G$600="",99999999,$G$2:$G$600))&lt;IF($G85="",99999999,$G85)))+SUMPRODUCT(($J$2:$J85&gt;0)*($K$2:$K85="")*($A$2:$A85&lt;&gt;"")*((IF($G$2:$G85="",99999999,$G$2:$G85))=IF($G85="",99999999,$G85))),"")</f>
        <v/>
      </c>
      <c r="O85" s="0" t="str">
        <f aca="false">IF(AND($F85="Not Started",$A85&lt;&gt;""),SUMPRODUCT(($F$2:$F$600="Not Started")*($A$2:$A$600&lt;&gt;"")*((IF($G$2:$G$600="",99999999,$G$2:$G$600))&lt;IF($G85="",99999999,$G85)))+SUMPRODUCT(($F$2:$F85="Not Started")*($A$2:$A85&lt;&gt;"")*((IF($G$2:$G85="",99999999,$G$2:$G85))=IF($G85="",99999999,$G85))),"")</f>
        <v/>
      </c>
      <c r="P85" s="0" t="str">
        <f aca="false">IF(AND(OR($F85="In Progress",$F85="Pending Client Data",$F85="Under Review"),$A85&lt;&gt;""),SUMPRODUCT((($F$2:$F$600="In Progress")+($F$2:$F$600="Pending Client Data")+($F$2:$F$600="Under Review"))*($A$2:$A$600&lt;&gt;"")*((IF($G$2:$G$600="",99999999,$G$2:$G$600))&lt;IF($G85="",99999999,$G85)))+SUMPRODUCT((($F$2:$F85="In Progress")+($F$2:$F85="Pending Client Data")+($F$2:$F85="Under Review"))*($A$2:$A85&lt;&gt;"")*((IF($G$2:$G85="",99999999,$G$2:$G85))=IF($G85="",99999999,$G85))),"")</f>
        <v/>
      </c>
    </row>
    <row r="86" customFormat="false" ht="15" hidden="false" customHeight="false" outlineLevel="0" collapsed="false">
      <c r="A86" s="9"/>
      <c r="B86" s="9"/>
      <c r="C86" s="10" t="str">
        <f aca="false">IF($B86="","",IFERROR(INDEX('Client Master'!$C:$C,MATCH($B86,'Client Master'!$B:$B,0)),"Code not found"))</f>
        <v/>
      </c>
      <c r="D86" s="9"/>
      <c r="E86" s="9"/>
      <c r="F86" s="9"/>
      <c r="G86" s="11"/>
      <c r="H86" s="11"/>
      <c r="I86" s="9"/>
      <c r="J86" s="12"/>
      <c r="K86" s="11"/>
      <c r="L86" s="9"/>
      <c r="N86" s="0" t="str">
        <f aca="false">IF(AND($J86&gt;0,$K86="",$A86&lt;&gt;""),SUMPRODUCT(($J$2:$J$600&gt;0)*($K$2:$K$600="")*($A$2:$A$600&lt;&gt;"")*((IF($G$2:$G$600="",99999999,$G$2:$G$600))&lt;IF($G86="",99999999,$G86)))+SUMPRODUCT(($J$2:$J86&gt;0)*($K$2:$K86="")*($A$2:$A86&lt;&gt;"")*((IF($G$2:$G86="",99999999,$G$2:$G86))=IF($G86="",99999999,$G86))),"")</f>
        <v/>
      </c>
      <c r="O86" s="0" t="str">
        <f aca="false">IF(AND($F86="Not Started",$A86&lt;&gt;""),SUMPRODUCT(($F$2:$F$600="Not Started")*($A$2:$A$600&lt;&gt;"")*((IF($G$2:$G$600="",99999999,$G$2:$G$600))&lt;IF($G86="",99999999,$G86)))+SUMPRODUCT(($F$2:$F86="Not Started")*($A$2:$A86&lt;&gt;"")*((IF($G$2:$G86="",99999999,$G$2:$G86))=IF($G86="",99999999,$G86))),"")</f>
        <v/>
      </c>
      <c r="P86" s="0" t="str">
        <f aca="false">IF(AND(OR($F86="In Progress",$F86="Pending Client Data",$F86="Under Review"),$A86&lt;&gt;""),SUMPRODUCT((($F$2:$F$600="In Progress")+($F$2:$F$600="Pending Client Data")+($F$2:$F$600="Under Review"))*($A$2:$A$600&lt;&gt;"")*((IF($G$2:$G$600="",99999999,$G$2:$G$600))&lt;IF($G86="",99999999,$G86)))+SUMPRODUCT((($F$2:$F86="In Progress")+($F$2:$F86="Pending Client Data")+($F$2:$F86="Under Review"))*($A$2:$A86&lt;&gt;"")*((IF($G$2:$G86="",99999999,$G$2:$G86))=IF($G86="",99999999,$G86))),"")</f>
        <v/>
      </c>
    </row>
    <row r="87" customFormat="false" ht="15" hidden="false" customHeight="false" outlineLevel="0" collapsed="false">
      <c r="A87" s="9"/>
      <c r="B87" s="9"/>
      <c r="C87" s="10" t="str">
        <f aca="false">IF($B87="","",IFERROR(INDEX('Client Master'!$C:$C,MATCH($B87,'Client Master'!$B:$B,0)),"Code not found"))</f>
        <v/>
      </c>
      <c r="D87" s="9"/>
      <c r="E87" s="9"/>
      <c r="F87" s="9"/>
      <c r="G87" s="11"/>
      <c r="H87" s="11"/>
      <c r="I87" s="9"/>
      <c r="J87" s="12"/>
      <c r="K87" s="11"/>
      <c r="L87" s="9"/>
      <c r="N87" s="0" t="str">
        <f aca="false">IF(AND($J87&gt;0,$K87="",$A87&lt;&gt;""),SUMPRODUCT(($J$2:$J$600&gt;0)*($K$2:$K$600="")*($A$2:$A$600&lt;&gt;"")*((IF($G$2:$G$600="",99999999,$G$2:$G$600))&lt;IF($G87="",99999999,$G87)))+SUMPRODUCT(($J$2:$J87&gt;0)*($K$2:$K87="")*($A$2:$A87&lt;&gt;"")*((IF($G$2:$G87="",99999999,$G$2:$G87))=IF($G87="",99999999,$G87))),"")</f>
        <v/>
      </c>
      <c r="O87" s="0" t="str">
        <f aca="false">IF(AND($F87="Not Started",$A87&lt;&gt;""),SUMPRODUCT(($F$2:$F$600="Not Started")*($A$2:$A$600&lt;&gt;"")*((IF($G$2:$G$600="",99999999,$G$2:$G$600))&lt;IF($G87="",99999999,$G87)))+SUMPRODUCT(($F$2:$F87="Not Started")*($A$2:$A87&lt;&gt;"")*((IF($G$2:$G87="",99999999,$G$2:$G87))=IF($G87="",99999999,$G87))),"")</f>
        <v/>
      </c>
      <c r="P87" s="0" t="str">
        <f aca="false">IF(AND(OR($F87="In Progress",$F87="Pending Client Data",$F87="Under Review"),$A87&lt;&gt;""),SUMPRODUCT((($F$2:$F$600="In Progress")+($F$2:$F$600="Pending Client Data")+($F$2:$F$600="Under Review"))*($A$2:$A$600&lt;&gt;"")*((IF($G$2:$G$600="",99999999,$G$2:$G$600))&lt;IF($G87="",99999999,$G87)))+SUMPRODUCT((($F$2:$F87="In Progress")+($F$2:$F87="Pending Client Data")+($F$2:$F87="Under Review"))*($A$2:$A87&lt;&gt;"")*((IF($G$2:$G87="",99999999,$G$2:$G87))=IF($G87="",99999999,$G87))),"")</f>
        <v/>
      </c>
    </row>
    <row r="88" customFormat="false" ht="15" hidden="false" customHeight="false" outlineLevel="0" collapsed="false">
      <c r="A88" s="9"/>
      <c r="B88" s="9"/>
      <c r="C88" s="10" t="str">
        <f aca="false">IF($B88="","",IFERROR(INDEX('Client Master'!$C:$C,MATCH($B88,'Client Master'!$B:$B,0)),"Code not found"))</f>
        <v/>
      </c>
      <c r="D88" s="9"/>
      <c r="E88" s="9"/>
      <c r="F88" s="9"/>
      <c r="G88" s="11"/>
      <c r="H88" s="11"/>
      <c r="I88" s="9"/>
      <c r="J88" s="12"/>
      <c r="K88" s="11"/>
      <c r="L88" s="9"/>
      <c r="N88" s="0" t="str">
        <f aca="false">IF(AND($J88&gt;0,$K88="",$A88&lt;&gt;""),SUMPRODUCT(($J$2:$J$600&gt;0)*($K$2:$K$600="")*($A$2:$A$600&lt;&gt;"")*((IF($G$2:$G$600="",99999999,$G$2:$G$600))&lt;IF($G88="",99999999,$G88)))+SUMPRODUCT(($J$2:$J88&gt;0)*($K$2:$K88="")*($A$2:$A88&lt;&gt;"")*((IF($G$2:$G88="",99999999,$G$2:$G88))=IF($G88="",99999999,$G88))),"")</f>
        <v/>
      </c>
      <c r="O88" s="0" t="str">
        <f aca="false">IF(AND($F88="Not Started",$A88&lt;&gt;""),SUMPRODUCT(($F$2:$F$600="Not Started")*($A$2:$A$600&lt;&gt;"")*((IF($G$2:$G$600="",99999999,$G$2:$G$600))&lt;IF($G88="",99999999,$G88)))+SUMPRODUCT(($F$2:$F88="Not Started")*($A$2:$A88&lt;&gt;"")*((IF($G$2:$G88="",99999999,$G$2:$G88))=IF($G88="",99999999,$G88))),"")</f>
        <v/>
      </c>
      <c r="P88" s="0" t="str">
        <f aca="false">IF(AND(OR($F88="In Progress",$F88="Pending Client Data",$F88="Under Review"),$A88&lt;&gt;""),SUMPRODUCT((($F$2:$F$600="In Progress")+($F$2:$F$600="Pending Client Data")+($F$2:$F$600="Under Review"))*($A$2:$A$600&lt;&gt;"")*((IF($G$2:$G$600="",99999999,$G$2:$G$600))&lt;IF($G88="",99999999,$G88)))+SUMPRODUCT((($F$2:$F88="In Progress")+($F$2:$F88="Pending Client Data")+($F$2:$F88="Under Review"))*($A$2:$A88&lt;&gt;"")*((IF($G$2:$G88="",99999999,$G$2:$G88))=IF($G88="",99999999,$G88))),"")</f>
        <v/>
      </c>
    </row>
    <row r="89" customFormat="false" ht="15" hidden="false" customHeight="false" outlineLevel="0" collapsed="false">
      <c r="A89" s="9"/>
      <c r="B89" s="9"/>
      <c r="C89" s="10" t="str">
        <f aca="false">IF($B89="","",IFERROR(INDEX('Client Master'!$C:$C,MATCH($B89,'Client Master'!$B:$B,0)),"Code not found"))</f>
        <v/>
      </c>
      <c r="D89" s="9"/>
      <c r="E89" s="9"/>
      <c r="F89" s="9"/>
      <c r="G89" s="11"/>
      <c r="H89" s="11"/>
      <c r="I89" s="9"/>
      <c r="J89" s="12"/>
      <c r="K89" s="11"/>
      <c r="L89" s="9"/>
      <c r="N89" s="0" t="str">
        <f aca="false">IF(AND($J89&gt;0,$K89="",$A89&lt;&gt;""),SUMPRODUCT(($J$2:$J$600&gt;0)*($K$2:$K$600="")*($A$2:$A$600&lt;&gt;"")*((IF($G$2:$G$600="",99999999,$G$2:$G$600))&lt;IF($G89="",99999999,$G89)))+SUMPRODUCT(($J$2:$J89&gt;0)*($K$2:$K89="")*($A$2:$A89&lt;&gt;"")*((IF($G$2:$G89="",99999999,$G$2:$G89))=IF($G89="",99999999,$G89))),"")</f>
        <v/>
      </c>
      <c r="O89" s="0" t="str">
        <f aca="false">IF(AND($F89="Not Started",$A89&lt;&gt;""),SUMPRODUCT(($F$2:$F$600="Not Started")*($A$2:$A$600&lt;&gt;"")*((IF($G$2:$G$600="",99999999,$G$2:$G$600))&lt;IF($G89="",99999999,$G89)))+SUMPRODUCT(($F$2:$F89="Not Started")*($A$2:$A89&lt;&gt;"")*((IF($G$2:$G89="",99999999,$G$2:$G89))=IF($G89="",99999999,$G89))),"")</f>
        <v/>
      </c>
      <c r="P89" s="0" t="str">
        <f aca="false">IF(AND(OR($F89="In Progress",$F89="Pending Client Data",$F89="Under Review"),$A89&lt;&gt;""),SUMPRODUCT((($F$2:$F$600="In Progress")+($F$2:$F$600="Pending Client Data")+($F$2:$F$600="Under Review"))*($A$2:$A$600&lt;&gt;"")*((IF($G$2:$G$600="",99999999,$G$2:$G$600))&lt;IF($G89="",99999999,$G89)))+SUMPRODUCT((($F$2:$F89="In Progress")+($F$2:$F89="Pending Client Data")+($F$2:$F89="Under Review"))*($A$2:$A89&lt;&gt;"")*((IF($G$2:$G89="",99999999,$G$2:$G89))=IF($G89="",99999999,$G89))),"")</f>
        <v/>
      </c>
    </row>
    <row r="90" customFormat="false" ht="15" hidden="false" customHeight="false" outlineLevel="0" collapsed="false">
      <c r="A90" s="9"/>
      <c r="B90" s="9"/>
      <c r="C90" s="10" t="str">
        <f aca="false">IF($B90="","",IFERROR(INDEX('Client Master'!$C:$C,MATCH($B90,'Client Master'!$B:$B,0)),"Code not found"))</f>
        <v/>
      </c>
      <c r="D90" s="9"/>
      <c r="E90" s="9"/>
      <c r="F90" s="9"/>
      <c r="G90" s="11"/>
      <c r="H90" s="11"/>
      <c r="I90" s="9"/>
      <c r="J90" s="12"/>
      <c r="K90" s="11"/>
      <c r="L90" s="9"/>
      <c r="N90" s="0" t="str">
        <f aca="false">IF(AND($J90&gt;0,$K90="",$A90&lt;&gt;""),SUMPRODUCT(($J$2:$J$600&gt;0)*($K$2:$K$600="")*($A$2:$A$600&lt;&gt;"")*((IF($G$2:$G$600="",99999999,$G$2:$G$600))&lt;IF($G90="",99999999,$G90)))+SUMPRODUCT(($J$2:$J90&gt;0)*($K$2:$K90="")*($A$2:$A90&lt;&gt;"")*((IF($G$2:$G90="",99999999,$G$2:$G90))=IF($G90="",99999999,$G90))),"")</f>
        <v/>
      </c>
      <c r="O90" s="0" t="str">
        <f aca="false">IF(AND($F90="Not Started",$A90&lt;&gt;""),SUMPRODUCT(($F$2:$F$600="Not Started")*($A$2:$A$600&lt;&gt;"")*((IF($G$2:$G$600="",99999999,$G$2:$G$600))&lt;IF($G90="",99999999,$G90)))+SUMPRODUCT(($F$2:$F90="Not Started")*($A$2:$A90&lt;&gt;"")*((IF($G$2:$G90="",99999999,$G$2:$G90))=IF($G90="",99999999,$G90))),"")</f>
        <v/>
      </c>
      <c r="P90" s="0" t="str">
        <f aca="false">IF(AND(OR($F90="In Progress",$F90="Pending Client Data",$F90="Under Review"),$A90&lt;&gt;""),SUMPRODUCT((($F$2:$F$600="In Progress")+($F$2:$F$600="Pending Client Data")+($F$2:$F$600="Under Review"))*($A$2:$A$600&lt;&gt;"")*((IF($G$2:$G$600="",99999999,$G$2:$G$600))&lt;IF($G90="",99999999,$G90)))+SUMPRODUCT((($F$2:$F90="In Progress")+($F$2:$F90="Pending Client Data")+($F$2:$F90="Under Review"))*($A$2:$A90&lt;&gt;"")*((IF($G$2:$G90="",99999999,$G$2:$G90))=IF($G90="",99999999,$G90))),"")</f>
        <v/>
      </c>
    </row>
    <row r="91" customFormat="false" ht="15" hidden="false" customHeight="false" outlineLevel="0" collapsed="false">
      <c r="A91" s="9"/>
      <c r="B91" s="9"/>
      <c r="C91" s="10" t="str">
        <f aca="false">IF($B91="","",IFERROR(INDEX('Client Master'!$C:$C,MATCH($B91,'Client Master'!$B:$B,0)),"Code not found"))</f>
        <v/>
      </c>
      <c r="D91" s="9"/>
      <c r="E91" s="9"/>
      <c r="F91" s="9"/>
      <c r="G91" s="11"/>
      <c r="H91" s="11"/>
      <c r="I91" s="9"/>
      <c r="J91" s="12"/>
      <c r="K91" s="11"/>
      <c r="L91" s="9"/>
      <c r="N91" s="0" t="str">
        <f aca="false">IF(AND($J91&gt;0,$K91="",$A91&lt;&gt;""),SUMPRODUCT(($J$2:$J$600&gt;0)*($K$2:$K$600="")*($A$2:$A$600&lt;&gt;"")*((IF($G$2:$G$600="",99999999,$G$2:$G$600))&lt;IF($G91="",99999999,$G91)))+SUMPRODUCT(($J$2:$J91&gt;0)*($K$2:$K91="")*($A$2:$A91&lt;&gt;"")*((IF($G$2:$G91="",99999999,$G$2:$G91))=IF($G91="",99999999,$G91))),"")</f>
        <v/>
      </c>
      <c r="O91" s="0" t="str">
        <f aca="false">IF(AND($F91="Not Started",$A91&lt;&gt;""),SUMPRODUCT(($F$2:$F$600="Not Started")*($A$2:$A$600&lt;&gt;"")*((IF($G$2:$G$600="",99999999,$G$2:$G$600))&lt;IF($G91="",99999999,$G91)))+SUMPRODUCT(($F$2:$F91="Not Started")*($A$2:$A91&lt;&gt;"")*((IF($G$2:$G91="",99999999,$G$2:$G91))=IF($G91="",99999999,$G91))),"")</f>
        <v/>
      </c>
      <c r="P91" s="0" t="str">
        <f aca="false">IF(AND(OR($F91="In Progress",$F91="Pending Client Data",$F91="Under Review"),$A91&lt;&gt;""),SUMPRODUCT((($F$2:$F$600="In Progress")+($F$2:$F$600="Pending Client Data")+($F$2:$F$600="Under Review"))*($A$2:$A$600&lt;&gt;"")*((IF($G$2:$G$600="",99999999,$G$2:$G$600))&lt;IF($G91="",99999999,$G91)))+SUMPRODUCT((($F$2:$F91="In Progress")+($F$2:$F91="Pending Client Data")+($F$2:$F91="Under Review"))*($A$2:$A91&lt;&gt;"")*((IF($G$2:$G91="",99999999,$G$2:$G91))=IF($G91="",99999999,$G91))),"")</f>
        <v/>
      </c>
    </row>
    <row r="92" customFormat="false" ht="15" hidden="false" customHeight="false" outlineLevel="0" collapsed="false">
      <c r="A92" s="9"/>
      <c r="B92" s="9"/>
      <c r="C92" s="10" t="str">
        <f aca="false">IF($B92="","",IFERROR(INDEX('Client Master'!$C:$C,MATCH($B92,'Client Master'!$B:$B,0)),"Code not found"))</f>
        <v/>
      </c>
      <c r="D92" s="9"/>
      <c r="E92" s="9"/>
      <c r="F92" s="9"/>
      <c r="G92" s="11"/>
      <c r="H92" s="11"/>
      <c r="I92" s="9"/>
      <c r="J92" s="12"/>
      <c r="K92" s="11"/>
      <c r="L92" s="9"/>
      <c r="N92" s="0" t="str">
        <f aca="false">IF(AND($J92&gt;0,$K92="",$A92&lt;&gt;""),SUMPRODUCT(($J$2:$J$600&gt;0)*($K$2:$K$600="")*($A$2:$A$600&lt;&gt;"")*((IF($G$2:$G$600="",99999999,$G$2:$G$600))&lt;IF($G92="",99999999,$G92)))+SUMPRODUCT(($J$2:$J92&gt;0)*($K$2:$K92="")*($A$2:$A92&lt;&gt;"")*((IF($G$2:$G92="",99999999,$G$2:$G92))=IF($G92="",99999999,$G92))),"")</f>
        <v/>
      </c>
      <c r="O92" s="0" t="str">
        <f aca="false">IF(AND($F92="Not Started",$A92&lt;&gt;""),SUMPRODUCT(($F$2:$F$600="Not Started")*($A$2:$A$600&lt;&gt;"")*((IF($G$2:$G$600="",99999999,$G$2:$G$600))&lt;IF($G92="",99999999,$G92)))+SUMPRODUCT(($F$2:$F92="Not Started")*($A$2:$A92&lt;&gt;"")*((IF($G$2:$G92="",99999999,$G$2:$G92))=IF($G92="",99999999,$G92))),"")</f>
        <v/>
      </c>
      <c r="P92" s="0" t="str">
        <f aca="false">IF(AND(OR($F92="In Progress",$F92="Pending Client Data",$F92="Under Review"),$A92&lt;&gt;""),SUMPRODUCT((($F$2:$F$600="In Progress")+($F$2:$F$600="Pending Client Data")+($F$2:$F$600="Under Review"))*($A$2:$A$600&lt;&gt;"")*((IF($G$2:$G$600="",99999999,$G$2:$G$600))&lt;IF($G92="",99999999,$G92)))+SUMPRODUCT((($F$2:$F92="In Progress")+($F$2:$F92="Pending Client Data")+($F$2:$F92="Under Review"))*($A$2:$A92&lt;&gt;"")*((IF($G$2:$G92="",99999999,$G$2:$G92))=IF($G92="",99999999,$G92))),"")</f>
        <v/>
      </c>
    </row>
    <row r="93" customFormat="false" ht="15" hidden="false" customHeight="false" outlineLevel="0" collapsed="false">
      <c r="A93" s="9"/>
      <c r="B93" s="9"/>
      <c r="C93" s="10" t="str">
        <f aca="false">IF($B93="","",IFERROR(INDEX('Client Master'!$C:$C,MATCH($B93,'Client Master'!$B:$B,0)),"Code not found"))</f>
        <v/>
      </c>
      <c r="D93" s="9"/>
      <c r="E93" s="9"/>
      <c r="F93" s="9"/>
      <c r="G93" s="11"/>
      <c r="H93" s="11"/>
      <c r="I93" s="9"/>
      <c r="J93" s="12"/>
      <c r="K93" s="11"/>
      <c r="L93" s="9"/>
      <c r="N93" s="0" t="str">
        <f aca="false">IF(AND($J93&gt;0,$K93="",$A93&lt;&gt;""),SUMPRODUCT(($J$2:$J$600&gt;0)*($K$2:$K$600="")*($A$2:$A$600&lt;&gt;"")*((IF($G$2:$G$600="",99999999,$G$2:$G$600))&lt;IF($G93="",99999999,$G93)))+SUMPRODUCT(($J$2:$J93&gt;0)*($K$2:$K93="")*($A$2:$A93&lt;&gt;"")*((IF($G$2:$G93="",99999999,$G$2:$G93))=IF($G93="",99999999,$G93))),"")</f>
        <v/>
      </c>
      <c r="O93" s="0" t="str">
        <f aca="false">IF(AND($F93="Not Started",$A93&lt;&gt;""),SUMPRODUCT(($F$2:$F$600="Not Started")*($A$2:$A$600&lt;&gt;"")*((IF($G$2:$G$600="",99999999,$G$2:$G$600))&lt;IF($G93="",99999999,$G93)))+SUMPRODUCT(($F$2:$F93="Not Started")*($A$2:$A93&lt;&gt;"")*((IF($G$2:$G93="",99999999,$G$2:$G93))=IF($G93="",99999999,$G93))),"")</f>
        <v/>
      </c>
      <c r="P93" s="0" t="str">
        <f aca="false">IF(AND(OR($F93="In Progress",$F93="Pending Client Data",$F93="Under Review"),$A93&lt;&gt;""),SUMPRODUCT((($F$2:$F$600="In Progress")+($F$2:$F$600="Pending Client Data")+($F$2:$F$600="Under Review"))*($A$2:$A$600&lt;&gt;"")*((IF($G$2:$G$600="",99999999,$G$2:$G$600))&lt;IF($G93="",99999999,$G93)))+SUMPRODUCT((($F$2:$F93="In Progress")+($F$2:$F93="Pending Client Data")+($F$2:$F93="Under Review"))*($A$2:$A93&lt;&gt;"")*((IF($G$2:$G93="",99999999,$G$2:$G93))=IF($G93="",99999999,$G93))),"")</f>
        <v/>
      </c>
    </row>
    <row r="94" customFormat="false" ht="15" hidden="false" customHeight="false" outlineLevel="0" collapsed="false">
      <c r="A94" s="9"/>
      <c r="B94" s="9"/>
      <c r="C94" s="10" t="str">
        <f aca="false">IF($B94="","",IFERROR(INDEX('Client Master'!$C:$C,MATCH($B94,'Client Master'!$B:$B,0)),"Code not found"))</f>
        <v/>
      </c>
      <c r="D94" s="9"/>
      <c r="E94" s="9"/>
      <c r="F94" s="9"/>
      <c r="G94" s="11"/>
      <c r="H94" s="11"/>
      <c r="I94" s="9"/>
      <c r="J94" s="12"/>
      <c r="K94" s="11"/>
      <c r="L94" s="9"/>
      <c r="N94" s="0" t="str">
        <f aca="false">IF(AND($J94&gt;0,$K94="",$A94&lt;&gt;""),SUMPRODUCT(($J$2:$J$600&gt;0)*($K$2:$K$600="")*($A$2:$A$600&lt;&gt;"")*((IF($G$2:$G$600="",99999999,$G$2:$G$600))&lt;IF($G94="",99999999,$G94)))+SUMPRODUCT(($J$2:$J94&gt;0)*($K$2:$K94="")*($A$2:$A94&lt;&gt;"")*((IF($G$2:$G94="",99999999,$G$2:$G94))=IF($G94="",99999999,$G94))),"")</f>
        <v/>
      </c>
      <c r="O94" s="0" t="str">
        <f aca="false">IF(AND($F94="Not Started",$A94&lt;&gt;""),SUMPRODUCT(($F$2:$F$600="Not Started")*($A$2:$A$600&lt;&gt;"")*((IF($G$2:$G$600="",99999999,$G$2:$G$600))&lt;IF($G94="",99999999,$G94)))+SUMPRODUCT(($F$2:$F94="Not Started")*($A$2:$A94&lt;&gt;"")*((IF($G$2:$G94="",99999999,$G$2:$G94))=IF($G94="",99999999,$G94))),"")</f>
        <v/>
      </c>
      <c r="P94" s="0" t="str">
        <f aca="false">IF(AND(OR($F94="In Progress",$F94="Pending Client Data",$F94="Under Review"),$A94&lt;&gt;""),SUMPRODUCT((($F$2:$F$600="In Progress")+($F$2:$F$600="Pending Client Data")+($F$2:$F$600="Under Review"))*($A$2:$A$600&lt;&gt;"")*((IF($G$2:$G$600="",99999999,$G$2:$G$600))&lt;IF($G94="",99999999,$G94)))+SUMPRODUCT((($F$2:$F94="In Progress")+($F$2:$F94="Pending Client Data")+($F$2:$F94="Under Review"))*($A$2:$A94&lt;&gt;"")*((IF($G$2:$G94="",99999999,$G$2:$G94))=IF($G94="",99999999,$G94))),"")</f>
        <v/>
      </c>
    </row>
    <row r="95" customFormat="false" ht="15" hidden="false" customHeight="false" outlineLevel="0" collapsed="false">
      <c r="A95" s="9"/>
      <c r="B95" s="9"/>
      <c r="C95" s="10" t="str">
        <f aca="false">IF($B95="","",IFERROR(INDEX('Client Master'!$C:$C,MATCH($B95,'Client Master'!$B:$B,0)),"Code not found"))</f>
        <v/>
      </c>
      <c r="D95" s="9"/>
      <c r="E95" s="9"/>
      <c r="F95" s="9"/>
      <c r="G95" s="11"/>
      <c r="H95" s="11"/>
      <c r="I95" s="9"/>
      <c r="J95" s="12"/>
      <c r="K95" s="11"/>
      <c r="L95" s="9"/>
      <c r="N95" s="0" t="str">
        <f aca="false">IF(AND($J95&gt;0,$K95="",$A95&lt;&gt;""),SUMPRODUCT(($J$2:$J$600&gt;0)*($K$2:$K$600="")*($A$2:$A$600&lt;&gt;"")*((IF($G$2:$G$600="",99999999,$G$2:$G$600))&lt;IF($G95="",99999999,$G95)))+SUMPRODUCT(($J$2:$J95&gt;0)*($K$2:$K95="")*($A$2:$A95&lt;&gt;"")*((IF($G$2:$G95="",99999999,$G$2:$G95))=IF($G95="",99999999,$G95))),"")</f>
        <v/>
      </c>
      <c r="O95" s="0" t="str">
        <f aca="false">IF(AND($F95="Not Started",$A95&lt;&gt;""),SUMPRODUCT(($F$2:$F$600="Not Started")*($A$2:$A$600&lt;&gt;"")*((IF($G$2:$G$600="",99999999,$G$2:$G$600))&lt;IF($G95="",99999999,$G95)))+SUMPRODUCT(($F$2:$F95="Not Started")*($A$2:$A95&lt;&gt;"")*((IF($G$2:$G95="",99999999,$G$2:$G95))=IF($G95="",99999999,$G95))),"")</f>
        <v/>
      </c>
      <c r="P95" s="0" t="str">
        <f aca="false">IF(AND(OR($F95="In Progress",$F95="Pending Client Data",$F95="Under Review"),$A95&lt;&gt;""),SUMPRODUCT((($F$2:$F$600="In Progress")+($F$2:$F$600="Pending Client Data")+($F$2:$F$600="Under Review"))*($A$2:$A$600&lt;&gt;"")*((IF($G$2:$G$600="",99999999,$G$2:$G$600))&lt;IF($G95="",99999999,$G95)))+SUMPRODUCT((($F$2:$F95="In Progress")+($F$2:$F95="Pending Client Data")+($F$2:$F95="Under Review"))*($A$2:$A95&lt;&gt;"")*((IF($G$2:$G95="",99999999,$G$2:$G95))=IF($G95="",99999999,$G95))),"")</f>
        <v/>
      </c>
    </row>
    <row r="96" customFormat="false" ht="15" hidden="false" customHeight="false" outlineLevel="0" collapsed="false">
      <c r="A96" s="9"/>
      <c r="B96" s="9"/>
      <c r="C96" s="10" t="str">
        <f aca="false">IF($B96="","",IFERROR(INDEX('Client Master'!$C:$C,MATCH($B96,'Client Master'!$B:$B,0)),"Code not found"))</f>
        <v/>
      </c>
      <c r="D96" s="9"/>
      <c r="E96" s="9"/>
      <c r="F96" s="9"/>
      <c r="G96" s="11"/>
      <c r="H96" s="11"/>
      <c r="I96" s="9"/>
      <c r="J96" s="12"/>
      <c r="K96" s="11"/>
      <c r="L96" s="9"/>
      <c r="N96" s="0" t="str">
        <f aca="false">IF(AND($J96&gt;0,$K96="",$A96&lt;&gt;""),SUMPRODUCT(($J$2:$J$600&gt;0)*($K$2:$K$600="")*($A$2:$A$600&lt;&gt;"")*((IF($G$2:$G$600="",99999999,$G$2:$G$600))&lt;IF($G96="",99999999,$G96)))+SUMPRODUCT(($J$2:$J96&gt;0)*($K$2:$K96="")*($A$2:$A96&lt;&gt;"")*((IF($G$2:$G96="",99999999,$G$2:$G96))=IF($G96="",99999999,$G96))),"")</f>
        <v/>
      </c>
      <c r="O96" s="0" t="str">
        <f aca="false">IF(AND($F96="Not Started",$A96&lt;&gt;""),SUMPRODUCT(($F$2:$F$600="Not Started")*($A$2:$A$600&lt;&gt;"")*((IF($G$2:$G$600="",99999999,$G$2:$G$600))&lt;IF($G96="",99999999,$G96)))+SUMPRODUCT(($F$2:$F96="Not Started")*($A$2:$A96&lt;&gt;"")*((IF($G$2:$G96="",99999999,$G$2:$G96))=IF($G96="",99999999,$G96))),"")</f>
        <v/>
      </c>
      <c r="P96" s="0" t="str">
        <f aca="false">IF(AND(OR($F96="In Progress",$F96="Pending Client Data",$F96="Under Review"),$A96&lt;&gt;""),SUMPRODUCT((($F$2:$F$600="In Progress")+($F$2:$F$600="Pending Client Data")+($F$2:$F$600="Under Review"))*($A$2:$A$600&lt;&gt;"")*((IF($G$2:$G$600="",99999999,$G$2:$G$600))&lt;IF($G96="",99999999,$G96)))+SUMPRODUCT((($F$2:$F96="In Progress")+($F$2:$F96="Pending Client Data")+($F$2:$F96="Under Review"))*($A$2:$A96&lt;&gt;"")*((IF($G$2:$G96="",99999999,$G$2:$G96))=IF($G96="",99999999,$G96))),"")</f>
        <v/>
      </c>
    </row>
    <row r="97" customFormat="false" ht="15" hidden="false" customHeight="false" outlineLevel="0" collapsed="false">
      <c r="A97" s="9"/>
      <c r="B97" s="9"/>
      <c r="C97" s="10" t="str">
        <f aca="false">IF($B97="","",IFERROR(INDEX('Client Master'!$C:$C,MATCH($B97,'Client Master'!$B:$B,0)),"Code not found"))</f>
        <v/>
      </c>
      <c r="D97" s="9"/>
      <c r="E97" s="9"/>
      <c r="F97" s="9"/>
      <c r="G97" s="11"/>
      <c r="H97" s="11"/>
      <c r="I97" s="9"/>
      <c r="J97" s="12"/>
      <c r="K97" s="11"/>
      <c r="L97" s="9"/>
      <c r="N97" s="0" t="str">
        <f aca="false">IF(AND($J97&gt;0,$K97="",$A97&lt;&gt;""),SUMPRODUCT(($J$2:$J$600&gt;0)*($K$2:$K$600="")*($A$2:$A$600&lt;&gt;"")*((IF($G$2:$G$600="",99999999,$G$2:$G$600))&lt;IF($G97="",99999999,$G97)))+SUMPRODUCT(($J$2:$J97&gt;0)*($K$2:$K97="")*($A$2:$A97&lt;&gt;"")*((IF($G$2:$G97="",99999999,$G$2:$G97))=IF($G97="",99999999,$G97))),"")</f>
        <v/>
      </c>
      <c r="O97" s="0" t="str">
        <f aca="false">IF(AND($F97="Not Started",$A97&lt;&gt;""),SUMPRODUCT(($F$2:$F$600="Not Started")*($A$2:$A$600&lt;&gt;"")*((IF($G$2:$G$600="",99999999,$G$2:$G$600))&lt;IF($G97="",99999999,$G97)))+SUMPRODUCT(($F$2:$F97="Not Started")*($A$2:$A97&lt;&gt;"")*((IF($G$2:$G97="",99999999,$G$2:$G97))=IF($G97="",99999999,$G97))),"")</f>
        <v/>
      </c>
      <c r="P97" s="0" t="str">
        <f aca="false">IF(AND(OR($F97="In Progress",$F97="Pending Client Data",$F97="Under Review"),$A97&lt;&gt;""),SUMPRODUCT((($F$2:$F$600="In Progress")+($F$2:$F$600="Pending Client Data")+($F$2:$F$600="Under Review"))*($A$2:$A$600&lt;&gt;"")*((IF($G$2:$G$600="",99999999,$G$2:$G$600))&lt;IF($G97="",99999999,$G97)))+SUMPRODUCT((($F$2:$F97="In Progress")+($F$2:$F97="Pending Client Data")+($F$2:$F97="Under Review"))*($A$2:$A97&lt;&gt;"")*((IF($G$2:$G97="",99999999,$G$2:$G97))=IF($G97="",99999999,$G97))),"")</f>
        <v/>
      </c>
    </row>
    <row r="98" customFormat="false" ht="15" hidden="false" customHeight="false" outlineLevel="0" collapsed="false">
      <c r="A98" s="9"/>
      <c r="B98" s="9"/>
      <c r="C98" s="10" t="str">
        <f aca="false">IF($B98="","",IFERROR(INDEX('Client Master'!$C:$C,MATCH($B98,'Client Master'!$B:$B,0)),"Code not found"))</f>
        <v/>
      </c>
      <c r="D98" s="9"/>
      <c r="E98" s="9"/>
      <c r="F98" s="9"/>
      <c r="G98" s="11"/>
      <c r="H98" s="11"/>
      <c r="I98" s="9"/>
      <c r="J98" s="12"/>
      <c r="K98" s="11"/>
      <c r="L98" s="9"/>
      <c r="N98" s="0" t="str">
        <f aca="false">IF(AND($J98&gt;0,$K98="",$A98&lt;&gt;""),SUMPRODUCT(($J$2:$J$600&gt;0)*($K$2:$K$600="")*($A$2:$A$600&lt;&gt;"")*((IF($G$2:$G$600="",99999999,$G$2:$G$600))&lt;IF($G98="",99999999,$G98)))+SUMPRODUCT(($J$2:$J98&gt;0)*($K$2:$K98="")*($A$2:$A98&lt;&gt;"")*((IF($G$2:$G98="",99999999,$G$2:$G98))=IF($G98="",99999999,$G98))),"")</f>
        <v/>
      </c>
      <c r="O98" s="0" t="str">
        <f aca="false">IF(AND($F98="Not Started",$A98&lt;&gt;""),SUMPRODUCT(($F$2:$F$600="Not Started")*($A$2:$A$600&lt;&gt;"")*((IF($G$2:$G$600="",99999999,$G$2:$G$600))&lt;IF($G98="",99999999,$G98)))+SUMPRODUCT(($F$2:$F98="Not Started")*($A$2:$A98&lt;&gt;"")*((IF($G$2:$G98="",99999999,$G$2:$G98))=IF($G98="",99999999,$G98))),"")</f>
        <v/>
      </c>
      <c r="P98" s="0" t="str">
        <f aca="false">IF(AND(OR($F98="In Progress",$F98="Pending Client Data",$F98="Under Review"),$A98&lt;&gt;""),SUMPRODUCT((($F$2:$F$600="In Progress")+($F$2:$F$600="Pending Client Data")+($F$2:$F$600="Under Review"))*($A$2:$A$600&lt;&gt;"")*((IF($G$2:$G$600="",99999999,$G$2:$G$600))&lt;IF($G98="",99999999,$G98)))+SUMPRODUCT((($F$2:$F98="In Progress")+($F$2:$F98="Pending Client Data")+($F$2:$F98="Under Review"))*($A$2:$A98&lt;&gt;"")*((IF($G$2:$G98="",99999999,$G$2:$G98))=IF($G98="",99999999,$G98))),"")</f>
        <v/>
      </c>
    </row>
    <row r="99" customFormat="false" ht="15" hidden="false" customHeight="false" outlineLevel="0" collapsed="false">
      <c r="A99" s="9"/>
      <c r="B99" s="9"/>
      <c r="C99" s="10" t="str">
        <f aca="false">IF($B99="","",IFERROR(INDEX('Client Master'!$C:$C,MATCH($B99,'Client Master'!$B:$B,0)),"Code not found"))</f>
        <v/>
      </c>
      <c r="D99" s="9"/>
      <c r="E99" s="9"/>
      <c r="F99" s="9"/>
      <c r="G99" s="11"/>
      <c r="H99" s="11"/>
      <c r="I99" s="9"/>
      <c r="J99" s="12"/>
      <c r="K99" s="11"/>
      <c r="L99" s="9"/>
      <c r="N99" s="0" t="str">
        <f aca="false">IF(AND($J99&gt;0,$K99="",$A99&lt;&gt;""),SUMPRODUCT(($J$2:$J$600&gt;0)*($K$2:$K$600="")*($A$2:$A$600&lt;&gt;"")*((IF($G$2:$G$600="",99999999,$G$2:$G$600))&lt;IF($G99="",99999999,$G99)))+SUMPRODUCT(($J$2:$J99&gt;0)*($K$2:$K99="")*($A$2:$A99&lt;&gt;"")*((IF($G$2:$G99="",99999999,$G$2:$G99))=IF($G99="",99999999,$G99))),"")</f>
        <v/>
      </c>
      <c r="O99" s="0" t="str">
        <f aca="false">IF(AND($F99="Not Started",$A99&lt;&gt;""),SUMPRODUCT(($F$2:$F$600="Not Started")*($A$2:$A$600&lt;&gt;"")*((IF($G$2:$G$600="",99999999,$G$2:$G$600))&lt;IF($G99="",99999999,$G99)))+SUMPRODUCT(($F$2:$F99="Not Started")*($A$2:$A99&lt;&gt;"")*((IF($G$2:$G99="",99999999,$G$2:$G99))=IF($G99="",99999999,$G99))),"")</f>
        <v/>
      </c>
      <c r="P99" s="0" t="str">
        <f aca="false">IF(AND(OR($F99="In Progress",$F99="Pending Client Data",$F99="Under Review"),$A99&lt;&gt;""),SUMPRODUCT((($F$2:$F$600="In Progress")+($F$2:$F$600="Pending Client Data")+($F$2:$F$600="Under Review"))*($A$2:$A$600&lt;&gt;"")*((IF($G$2:$G$600="",99999999,$G$2:$G$600))&lt;IF($G99="",99999999,$G99)))+SUMPRODUCT((($F$2:$F99="In Progress")+($F$2:$F99="Pending Client Data")+($F$2:$F99="Under Review"))*($A$2:$A99&lt;&gt;"")*((IF($G$2:$G99="",99999999,$G$2:$G99))=IF($G99="",99999999,$G99))),"")</f>
        <v/>
      </c>
    </row>
    <row r="100" customFormat="false" ht="15" hidden="false" customHeight="false" outlineLevel="0" collapsed="false">
      <c r="A100" s="9"/>
      <c r="B100" s="9"/>
      <c r="C100" s="10" t="str">
        <f aca="false">IF($B100="","",IFERROR(INDEX('Client Master'!$C:$C,MATCH($B100,'Client Master'!$B:$B,0)),"Code not found"))</f>
        <v/>
      </c>
      <c r="D100" s="9"/>
      <c r="E100" s="9"/>
      <c r="F100" s="9"/>
      <c r="G100" s="11"/>
      <c r="H100" s="11"/>
      <c r="I100" s="9"/>
      <c r="J100" s="12"/>
      <c r="K100" s="11"/>
      <c r="L100" s="9"/>
      <c r="N100" s="0" t="str">
        <f aca="false">IF(AND($J100&gt;0,$K100="",$A100&lt;&gt;""),SUMPRODUCT(($J$2:$J$600&gt;0)*($K$2:$K$600="")*($A$2:$A$600&lt;&gt;"")*((IF($G$2:$G$600="",99999999,$G$2:$G$600))&lt;IF($G100="",99999999,$G100)))+SUMPRODUCT(($J$2:$J100&gt;0)*($K$2:$K100="")*($A$2:$A100&lt;&gt;"")*((IF($G$2:$G100="",99999999,$G$2:$G100))=IF($G100="",99999999,$G100))),"")</f>
        <v/>
      </c>
      <c r="O100" s="0" t="str">
        <f aca="false">IF(AND($F100="Not Started",$A100&lt;&gt;""),SUMPRODUCT(($F$2:$F$600="Not Started")*($A$2:$A$600&lt;&gt;"")*((IF($G$2:$G$600="",99999999,$G$2:$G$600))&lt;IF($G100="",99999999,$G100)))+SUMPRODUCT(($F$2:$F100="Not Started")*($A$2:$A100&lt;&gt;"")*((IF($G$2:$G100="",99999999,$G$2:$G100))=IF($G100="",99999999,$G100))),"")</f>
        <v/>
      </c>
      <c r="P100" s="0" t="str">
        <f aca="false">IF(AND(OR($F100="In Progress",$F100="Pending Client Data",$F100="Under Review"),$A100&lt;&gt;""),SUMPRODUCT((($F$2:$F$600="In Progress")+($F$2:$F$600="Pending Client Data")+($F$2:$F$600="Under Review"))*($A$2:$A$600&lt;&gt;"")*((IF($G$2:$G$600="",99999999,$G$2:$G$600))&lt;IF($G100="",99999999,$G100)))+SUMPRODUCT((($F$2:$F100="In Progress")+($F$2:$F100="Pending Client Data")+($F$2:$F100="Under Review"))*($A$2:$A100&lt;&gt;"")*((IF($G$2:$G100="",99999999,$G$2:$G100))=IF($G100="",99999999,$G100))),"")</f>
        <v/>
      </c>
    </row>
    <row r="101" customFormat="false" ht="15" hidden="false" customHeight="false" outlineLevel="0" collapsed="false">
      <c r="A101" s="9"/>
      <c r="B101" s="9"/>
      <c r="C101" s="10" t="str">
        <f aca="false">IF($B101="","",IFERROR(INDEX('Client Master'!$C:$C,MATCH($B101,'Client Master'!$B:$B,0)),"Code not found"))</f>
        <v/>
      </c>
      <c r="D101" s="9"/>
      <c r="E101" s="9"/>
      <c r="F101" s="9"/>
      <c r="G101" s="11"/>
      <c r="H101" s="11"/>
      <c r="I101" s="9"/>
      <c r="J101" s="12"/>
      <c r="K101" s="11"/>
      <c r="L101" s="9"/>
      <c r="N101" s="0" t="str">
        <f aca="false">IF(AND($J101&gt;0,$K101="",$A101&lt;&gt;""),SUMPRODUCT(($J$2:$J$600&gt;0)*($K$2:$K$600="")*($A$2:$A$600&lt;&gt;"")*((IF($G$2:$G$600="",99999999,$G$2:$G$600))&lt;IF($G101="",99999999,$G101)))+SUMPRODUCT(($J$2:$J101&gt;0)*($K$2:$K101="")*($A$2:$A101&lt;&gt;"")*((IF($G$2:$G101="",99999999,$G$2:$G101))=IF($G101="",99999999,$G101))),"")</f>
        <v/>
      </c>
      <c r="O101" s="0" t="str">
        <f aca="false">IF(AND($F101="Not Started",$A101&lt;&gt;""),SUMPRODUCT(($F$2:$F$600="Not Started")*($A$2:$A$600&lt;&gt;"")*((IF($G$2:$G$600="",99999999,$G$2:$G$600))&lt;IF($G101="",99999999,$G101)))+SUMPRODUCT(($F$2:$F101="Not Started")*($A$2:$A101&lt;&gt;"")*((IF($G$2:$G101="",99999999,$G$2:$G101))=IF($G101="",99999999,$G101))),"")</f>
        <v/>
      </c>
      <c r="P101" s="0" t="str">
        <f aca="false">IF(AND(OR($F101="In Progress",$F101="Pending Client Data",$F101="Under Review"),$A101&lt;&gt;""),SUMPRODUCT((($F$2:$F$600="In Progress")+($F$2:$F$600="Pending Client Data")+($F$2:$F$600="Under Review"))*($A$2:$A$600&lt;&gt;"")*((IF($G$2:$G$600="",99999999,$G$2:$G$600))&lt;IF($G101="",99999999,$G101)))+SUMPRODUCT((($F$2:$F101="In Progress")+($F$2:$F101="Pending Client Data")+($F$2:$F101="Under Review"))*($A$2:$A101&lt;&gt;"")*((IF($G$2:$G101="",99999999,$G$2:$G101))=IF($G101="",99999999,$G101))),"")</f>
        <v/>
      </c>
    </row>
    <row r="102" customFormat="false" ht="15" hidden="false" customHeight="false" outlineLevel="0" collapsed="false">
      <c r="A102" s="9"/>
      <c r="B102" s="9"/>
      <c r="C102" s="10" t="str">
        <f aca="false">IF($B102="","",IFERROR(INDEX('Client Master'!$C:$C,MATCH($B102,'Client Master'!$B:$B,0)),"Code not found"))</f>
        <v/>
      </c>
      <c r="D102" s="9"/>
      <c r="E102" s="9"/>
      <c r="F102" s="9"/>
      <c r="G102" s="11"/>
      <c r="H102" s="11"/>
      <c r="I102" s="9"/>
      <c r="J102" s="12"/>
      <c r="K102" s="11"/>
      <c r="L102" s="9"/>
      <c r="N102" s="0" t="str">
        <f aca="false">IF(AND($J102&gt;0,$K102="",$A102&lt;&gt;""),SUMPRODUCT(($J$2:$J$600&gt;0)*($K$2:$K$600="")*($A$2:$A$600&lt;&gt;"")*((IF($G$2:$G$600="",99999999,$G$2:$G$600))&lt;IF($G102="",99999999,$G102)))+SUMPRODUCT(($J$2:$J102&gt;0)*($K$2:$K102="")*($A$2:$A102&lt;&gt;"")*((IF($G$2:$G102="",99999999,$G$2:$G102))=IF($G102="",99999999,$G102))),"")</f>
        <v/>
      </c>
      <c r="O102" s="0" t="str">
        <f aca="false">IF(AND($F102="Not Started",$A102&lt;&gt;""),SUMPRODUCT(($F$2:$F$600="Not Started")*($A$2:$A$600&lt;&gt;"")*((IF($G$2:$G$600="",99999999,$G$2:$G$600))&lt;IF($G102="",99999999,$G102)))+SUMPRODUCT(($F$2:$F102="Not Started")*($A$2:$A102&lt;&gt;"")*((IF($G$2:$G102="",99999999,$G$2:$G102))=IF($G102="",99999999,$G102))),"")</f>
        <v/>
      </c>
      <c r="P102" s="0" t="str">
        <f aca="false">IF(AND(OR($F102="In Progress",$F102="Pending Client Data",$F102="Under Review"),$A102&lt;&gt;""),SUMPRODUCT((($F$2:$F$600="In Progress")+($F$2:$F$600="Pending Client Data")+($F$2:$F$600="Under Review"))*($A$2:$A$600&lt;&gt;"")*((IF($G$2:$G$600="",99999999,$G$2:$G$600))&lt;IF($G102="",99999999,$G102)))+SUMPRODUCT((($F$2:$F102="In Progress")+($F$2:$F102="Pending Client Data")+($F$2:$F102="Under Review"))*($A$2:$A102&lt;&gt;"")*((IF($G$2:$G102="",99999999,$G$2:$G102))=IF($G102="",99999999,$G102))),"")</f>
        <v/>
      </c>
    </row>
    <row r="103" customFormat="false" ht="15" hidden="false" customHeight="false" outlineLevel="0" collapsed="false">
      <c r="A103" s="9"/>
      <c r="B103" s="9"/>
      <c r="C103" s="10" t="str">
        <f aca="false">IF($B103="","",IFERROR(INDEX('Client Master'!$C:$C,MATCH($B103,'Client Master'!$B:$B,0)),"Code not found"))</f>
        <v/>
      </c>
      <c r="D103" s="9"/>
      <c r="E103" s="9"/>
      <c r="F103" s="9"/>
      <c r="G103" s="11"/>
      <c r="H103" s="11"/>
      <c r="I103" s="9"/>
      <c r="J103" s="12"/>
      <c r="K103" s="11"/>
      <c r="L103" s="9"/>
      <c r="N103" s="0" t="str">
        <f aca="false">IF(AND($J103&gt;0,$K103="",$A103&lt;&gt;""),SUMPRODUCT(($J$2:$J$600&gt;0)*($K$2:$K$600="")*($A$2:$A$600&lt;&gt;"")*((IF($G$2:$G$600="",99999999,$G$2:$G$600))&lt;IF($G103="",99999999,$G103)))+SUMPRODUCT(($J$2:$J103&gt;0)*($K$2:$K103="")*($A$2:$A103&lt;&gt;"")*((IF($G$2:$G103="",99999999,$G$2:$G103))=IF($G103="",99999999,$G103))),"")</f>
        <v/>
      </c>
      <c r="O103" s="0" t="str">
        <f aca="false">IF(AND($F103="Not Started",$A103&lt;&gt;""),SUMPRODUCT(($F$2:$F$600="Not Started")*($A$2:$A$600&lt;&gt;"")*((IF($G$2:$G$600="",99999999,$G$2:$G$600))&lt;IF($G103="",99999999,$G103)))+SUMPRODUCT(($F$2:$F103="Not Started")*($A$2:$A103&lt;&gt;"")*((IF($G$2:$G103="",99999999,$G$2:$G103))=IF($G103="",99999999,$G103))),"")</f>
        <v/>
      </c>
      <c r="P103" s="0" t="str">
        <f aca="false">IF(AND(OR($F103="In Progress",$F103="Pending Client Data",$F103="Under Review"),$A103&lt;&gt;""),SUMPRODUCT((($F$2:$F$600="In Progress")+($F$2:$F$600="Pending Client Data")+($F$2:$F$600="Under Review"))*($A$2:$A$600&lt;&gt;"")*((IF($G$2:$G$600="",99999999,$G$2:$G$600))&lt;IF($G103="",99999999,$G103)))+SUMPRODUCT((($F$2:$F103="In Progress")+($F$2:$F103="Pending Client Data")+($F$2:$F103="Under Review"))*($A$2:$A103&lt;&gt;"")*((IF($G$2:$G103="",99999999,$G$2:$G103))=IF($G103="",99999999,$G103))),"")</f>
        <v/>
      </c>
    </row>
    <row r="104" customFormat="false" ht="15" hidden="false" customHeight="false" outlineLevel="0" collapsed="false">
      <c r="A104" s="9"/>
      <c r="B104" s="9"/>
      <c r="C104" s="10" t="str">
        <f aca="false">IF($B104="","",IFERROR(INDEX('Client Master'!$C:$C,MATCH($B104,'Client Master'!$B:$B,0)),"Code not found"))</f>
        <v/>
      </c>
      <c r="D104" s="9"/>
      <c r="E104" s="9"/>
      <c r="F104" s="9"/>
      <c r="G104" s="11"/>
      <c r="H104" s="11"/>
      <c r="I104" s="9"/>
      <c r="J104" s="12"/>
      <c r="K104" s="11"/>
      <c r="L104" s="9"/>
      <c r="N104" s="0" t="str">
        <f aca="false">IF(AND($J104&gt;0,$K104="",$A104&lt;&gt;""),SUMPRODUCT(($J$2:$J$600&gt;0)*($K$2:$K$600="")*($A$2:$A$600&lt;&gt;"")*((IF($G$2:$G$600="",99999999,$G$2:$G$600))&lt;IF($G104="",99999999,$G104)))+SUMPRODUCT(($J$2:$J104&gt;0)*($K$2:$K104="")*($A$2:$A104&lt;&gt;"")*((IF($G$2:$G104="",99999999,$G$2:$G104))=IF($G104="",99999999,$G104))),"")</f>
        <v/>
      </c>
      <c r="O104" s="0" t="str">
        <f aca="false">IF(AND($F104="Not Started",$A104&lt;&gt;""),SUMPRODUCT(($F$2:$F$600="Not Started")*($A$2:$A$600&lt;&gt;"")*((IF($G$2:$G$600="",99999999,$G$2:$G$600))&lt;IF($G104="",99999999,$G104)))+SUMPRODUCT(($F$2:$F104="Not Started")*($A$2:$A104&lt;&gt;"")*((IF($G$2:$G104="",99999999,$G$2:$G104))=IF($G104="",99999999,$G104))),"")</f>
        <v/>
      </c>
      <c r="P104" s="0" t="str">
        <f aca="false">IF(AND(OR($F104="In Progress",$F104="Pending Client Data",$F104="Under Review"),$A104&lt;&gt;""),SUMPRODUCT((($F$2:$F$600="In Progress")+($F$2:$F$600="Pending Client Data")+($F$2:$F$600="Under Review"))*($A$2:$A$600&lt;&gt;"")*((IF($G$2:$G$600="",99999999,$G$2:$G$600))&lt;IF($G104="",99999999,$G104)))+SUMPRODUCT((($F$2:$F104="In Progress")+($F$2:$F104="Pending Client Data")+($F$2:$F104="Under Review"))*($A$2:$A104&lt;&gt;"")*((IF($G$2:$G104="",99999999,$G$2:$G104))=IF($G104="",99999999,$G104))),"")</f>
        <v/>
      </c>
    </row>
    <row r="105" customFormat="false" ht="15" hidden="false" customHeight="false" outlineLevel="0" collapsed="false">
      <c r="A105" s="9"/>
      <c r="B105" s="9"/>
      <c r="C105" s="10" t="str">
        <f aca="false">IF($B105="","",IFERROR(INDEX('Client Master'!$C:$C,MATCH($B105,'Client Master'!$B:$B,0)),"Code not found"))</f>
        <v/>
      </c>
      <c r="D105" s="9"/>
      <c r="E105" s="9"/>
      <c r="F105" s="9"/>
      <c r="G105" s="11"/>
      <c r="H105" s="11"/>
      <c r="I105" s="9"/>
      <c r="J105" s="12"/>
      <c r="K105" s="11"/>
      <c r="L105" s="9"/>
      <c r="N105" s="0" t="str">
        <f aca="false">IF(AND($J105&gt;0,$K105="",$A105&lt;&gt;""),SUMPRODUCT(($J$2:$J$600&gt;0)*($K$2:$K$600="")*($A$2:$A$600&lt;&gt;"")*((IF($G$2:$G$600="",99999999,$G$2:$G$600))&lt;IF($G105="",99999999,$G105)))+SUMPRODUCT(($J$2:$J105&gt;0)*($K$2:$K105="")*($A$2:$A105&lt;&gt;"")*((IF($G$2:$G105="",99999999,$G$2:$G105))=IF($G105="",99999999,$G105))),"")</f>
        <v/>
      </c>
      <c r="O105" s="0" t="str">
        <f aca="false">IF(AND($F105="Not Started",$A105&lt;&gt;""),SUMPRODUCT(($F$2:$F$600="Not Started")*($A$2:$A$600&lt;&gt;"")*((IF($G$2:$G$600="",99999999,$G$2:$G$600))&lt;IF($G105="",99999999,$G105)))+SUMPRODUCT(($F$2:$F105="Not Started")*($A$2:$A105&lt;&gt;"")*((IF($G$2:$G105="",99999999,$G$2:$G105))=IF($G105="",99999999,$G105))),"")</f>
        <v/>
      </c>
      <c r="P105" s="0" t="str">
        <f aca="false">IF(AND(OR($F105="In Progress",$F105="Pending Client Data",$F105="Under Review"),$A105&lt;&gt;""),SUMPRODUCT((($F$2:$F$600="In Progress")+($F$2:$F$600="Pending Client Data")+($F$2:$F$600="Under Review"))*($A$2:$A$600&lt;&gt;"")*((IF($G$2:$G$600="",99999999,$G$2:$G$600))&lt;IF($G105="",99999999,$G105)))+SUMPRODUCT((($F$2:$F105="In Progress")+($F$2:$F105="Pending Client Data")+($F$2:$F105="Under Review"))*($A$2:$A105&lt;&gt;"")*((IF($G$2:$G105="",99999999,$G$2:$G105))=IF($G105="",99999999,$G105))),"")</f>
        <v/>
      </c>
    </row>
    <row r="106" customFormat="false" ht="15" hidden="false" customHeight="false" outlineLevel="0" collapsed="false">
      <c r="A106" s="9"/>
      <c r="B106" s="9"/>
      <c r="C106" s="10" t="str">
        <f aca="false">IF($B106="","",IFERROR(INDEX('Client Master'!$C:$C,MATCH($B106,'Client Master'!$B:$B,0)),"Code not found"))</f>
        <v/>
      </c>
      <c r="D106" s="9"/>
      <c r="E106" s="9"/>
      <c r="F106" s="9"/>
      <c r="G106" s="11"/>
      <c r="H106" s="11"/>
      <c r="I106" s="9"/>
      <c r="J106" s="12"/>
      <c r="K106" s="11"/>
      <c r="L106" s="9"/>
      <c r="N106" s="0" t="str">
        <f aca="false">IF(AND($J106&gt;0,$K106="",$A106&lt;&gt;""),SUMPRODUCT(($J$2:$J$600&gt;0)*($K$2:$K$600="")*($A$2:$A$600&lt;&gt;"")*((IF($G$2:$G$600="",99999999,$G$2:$G$600))&lt;IF($G106="",99999999,$G106)))+SUMPRODUCT(($J$2:$J106&gt;0)*($K$2:$K106="")*($A$2:$A106&lt;&gt;"")*((IF($G$2:$G106="",99999999,$G$2:$G106))=IF($G106="",99999999,$G106))),"")</f>
        <v/>
      </c>
      <c r="O106" s="0" t="str">
        <f aca="false">IF(AND($F106="Not Started",$A106&lt;&gt;""),SUMPRODUCT(($F$2:$F$600="Not Started")*($A$2:$A$600&lt;&gt;"")*((IF($G$2:$G$600="",99999999,$G$2:$G$600))&lt;IF($G106="",99999999,$G106)))+SUMPRODUCT(($F$2:$F106="Not Started")*($A$2:$A106&lt;&gt;"")*((IF($G$2:$G106="",99999999,$G$2:$G106))=IF($G106="",99999999,$G106))),"")</f>
        <v/>
      </c>
      <c r="P106" s="0" t="str">
        <f aca="false">IF(AND(OR($F106="In Progress",$F106="Pending Client Data",$F106="Under Review"),$A106&lt;&gt;""),SUMPRODUCT((($F$2:$F$600="In Progress")+($F$2:$F$600="Pending Client Data")+($F$2:$F$600="Under Review"))*($A$2:$A$600&lt;&gt;"")*((IF($G$2:$G$600="",99999999,$G$2:$G$600))&lt;IF($G106="",99999999,$G106)))+SUMPRODUCT((($F$2:$F106="In Progress")+($F$2:$F106="Pending Client Data")+($F$2:$F106="Under Review"))*($A$2:$A106&lt;&gt;"")*((IF($G$2:$G106="",99999999,$G$2:$G106))=IF($G106="",99999999,$G106))),"")</f>
        <v/>
      </c>
    </row>
    <row r="107" customFormat="false" ht="15" hidden="false" customHeight="false" outlineLevel="0" collapsed="false">
      <c r="A107" s="9"/>
      <c r="B107" s="9"/>
      <c r="C107" s="10" t="str">
        <f aca="false">IF($B107="","",IFERROR(INDEX('Client Master'!$C:$C,MATCH($B107,'Client Master'!$B:$B,0)),"Code not found"))</f>
        <v/>
      </c>
      <c r="D107" s="9"/>
      <c r="E107" s="9"/>
      <c r="F107" s="9"/>
      <c r="G107" s="11"/>
      <c r="H107" s="11"/>
      <c r="I107" s="9"/>
      <c r="J107" s="12"/>
      <c r="K107" s="11"/>
      <c r="L107" s="9"/>
      <c r="N107" s="0" t="str">
        <f aca="false">IF(AND($J107&gt;0,$K107="",$A107&lt;&gt;""),SUMPRODUCT(($J$2:$J$600&gt;0)*($K$2:$K$600="")*($A$2:$A$600&lt;&gt;"")*((IF($G$2:$G$600="",99999999,$G$2:$G$600))&lt;IF($G107="",99999999,$G107)))+SUMPRODUCT(($J$2:$J107&gt;0)*($K$2:$K107="")*($A$2:$A107&lt;&gt;"")*((IF($G$2:$G107="",99999999,$G$2:$G107))=IF($G107="",99999999,$G107))),"")</f>
        <v/>
      </c>
      <c r="O107" s="0" t="str">
        <f aca="false">IF(AND($F107="Not Started",$A107&lt;&gt;""),SUMPRODUCT(($F$2:$F$600="Not Started")*($A$2:$A$600&lt;&gt;"")*((IF($G$2:$G$600="",99999999,$G$2:$G$600))&lt;IF($G107="",99999999,$G107)))+SUMPRODUCT(($F$2:$F107="Not Started")*($A$2:$A107&lt;&gt;"")*((IF($G$2:$G107="",99999999,$G$2:$G107))=IF($G107="",99999999,$G107))),"")</f>
        <v/>
      </c>
      <c r="P107" s="0" t="str">
        <f aca="false">IF(AND(OR($F107="In Progress",$F107="Pending Client Data",$F107="Under Review"),$A107&lt;&gt;""),SUMPRODUCT((($F$2:$F$600="In Progress")+($F$2:$F$600="Pending Client Data")+($F$2:$F$600="Under Review"))*($A$2:$A$600&lt;&gt;"")*((IF($G$2:$G$600="",99999999,$G$2:$G$600))&lt;IF($G107="",99999999,$G107)))+SUMPRODUCT((($F$2:$F107="In Progress")+($F$2:$F107="Pending Client Data")+($F$2:$F107="Under Review"))*($A$2:$A107&lt;&gt;"")*((IF($G$2:$G107="",99999999,$G$2:$G107))=IF($G107="",99999999,$G107))),"")</f>
        <v/>
      </c>
    </row>
    <row r="108" customFormat="false" ht="15" hidden="false" customHeight="false" outlineLevel="0" collapsed="false">
      <c r="A108" s="9"/>
      <c r="B108" s="9"/>
      <c r="C108" s="10" t="str">
        <f aca="false">IF($B108="","",IFERROR(INDEX('Client Master'!$C:$C,MATCH($B108,'Client Master'!$B:$B,0)),"Code not found"))</f>
        <v/>
      </c>
      <c r="D108" s="9"/>
      <c r="E108" s="9"/>
      <c r="F108" s="9"/>
      <c r="G108" s="11"/>
      <c r="H108" s="11"/>
      <c r="I108" s="9"/>
      <c r="J108" s="12"/>
      <c r="K108" s="11"/>
      <c r="L108" s="9"/>
      <c r="N108" s="0" t="str">
        <f aca="false">IF(AND($J108&gt;0,$K108="",$A108&lt;&gt;""),SUMPRODUCT(($J$2:$J$600&gt;0)*($K$2:$K$600="")*($A$2:$A$600&lt;&gt;"")*((IF($G$2:$G$600="",99999999,$G$2:$G$600))&lt;IF($G108="",99999999,$G108)))+SUMPRODUCT(($J$2:$J108&gt;0)*($K$2:$K108="")*($A$2:$A108&lt;&gt;"")*((IF($G$2:$G108="",99999999,$G$2:$G108))=IF($G108="",99999999,$G108))),"")</f>
        <v/>
      </c>
      <c r="O108" s="0" t="str">
        <f aca="false">IF(AND($F108="Not Started",$A108&lt;&gt;""),SUMPRODUCT(($F$2:$F$600="Not Started")*($A$2:$A$600&lt;&gt;"")*((IF($G$2:$G$600="",99999999,$G$2:$G$600))&lt;IF($G108="",99999999,$G108)))+SUMPRODUCT(($F$2:$F108="Not Started")*($A$2:$A108&lt;&gt;"")*((IF($G$2:$G108="",99999999,$G$2:$G108))=IF($G108="",99999999,$G108))),"")</f>
        <v/>
      </c>
      <c r="P108" s="0" t="str">
        <f aca="false">IF(AND(OR($F108="In Progress",$F108="Pending Client Data",$F108="Under Review"),$A108&lt;&gt;""),SUMPRODUCT((($F$2:$F$600="In Progress")+($F$2:$F$600="Pending Client Data")+($F$2:$F$600="Under Review"))*($A$2:$A$600&lt;&gt;"")*((IF($G$2:$G$600="",99999999,$G$2:$G$600))&lt;IF($G108="",99999999,$G108)))+SUMPRODUCT((($F$2:$F108="In Progress")+($F$2:$F108="Pending Client Data")+($F$2:$F108="Under Review"))*($A$2:$A108&lt;&gt;"")*((IF($G$2:$G108="",99999999,$G$2:$G108))=IF($G108="",99999999,$G108))),"")</f>
        <v/>
      </c>
    </row>
    <row r="109" customFormat="false" ht="15" hidden="false" customHeight="false" outlineLevel="0" collapsed="false">
      <c r="A109" s="9"/>
      <c r="B109" s="9"/>
      <c r="C109" s="10" t="str">
        <f aca="false">IF($B109="","",IFERROR(INDEX('Client Master'!$C:$C,MATCH($B109,'Client Master'!$B:$B,0)),"Code not found"))</f>
        <v/>
      </c>
      <c r="D109" s="9"/>
      <c r="E109" s="9"/>
      <c r="F109" s="9"/>
      <c r="G109" s="11"/>
      <c r="H109" s="11"/>
      <c r="I109" s="9"/>
      <c r="J109" s="12"/>
      <c r="K109" s="11"/>
      <c r="L109" s="9"/>
      <c r="N109" s="0" t="str">
        <f aca="false">IF(AND($J109&gt;0,$K109="",$A109&lt;&gt;""),SUMPRODUCT(($J$2:$J$600&gt;0)*($K$2:$K$600="")*($A$2:$A$600&lt;&gt;"")*((IF($G$2:$G$600="",99999999,$G$2:$G$600))&lt;IF($G109="",99999999,$G109)))+SUMPRODUCT(($J$2:$J109&gt;0)*($K$2:$K109="")*($A$2:$A109&lt;&gt;"")*((IF($G$2:$G109="",99999999,$G$2:$G109))=IF($G109="",99999999,$G109))),"")</f>
        <v/>
      </c>
      <c r="O109" s="0" t="str">
        <f aca="false">IF(AND($F109="Not Started",$A109&lt;&gt;""),SUMPRODUCT(($F$2:$F$600="Not Started")*($A$2:$A$600&lt;&gt;"")*((IF($G$2:$G$600="",99999999,$G$2:$G$600))&lt;IF($G109="",99999999,$G109)))+SUMPRODUCT(($F$2:$F109="Not Started")*($A$2:$A109&lt;&gt;"")*((IF($G$2:$G109="",99999999,$G$2:$G109))=IF($G109="",99999999,$G109))),"")</f>
        <v/>
      </c>
      <c r="P109" s="0" t="str">
        <f aca="false">IF(AND(OR($F109="In Progress",$F109="Pending Client Data",$F109="Under Review"),$A109&lt;&gt;""),SUMPRODUCT((($F$2:$F$600="In Progress")+($F$2:$F$600="Pending Client Data")+($F$2:$F$600="Under Review"))*($A$2:$A$600&lt;&gt;"")*((IF($G$2:$G$600="",99999999,$G$2:$G$600))&lt;IF($G109="",99999999,$G109)))+SUMPRODUCT((($F$2:$F109="In Progress")+($F$2:$F109="Pending Client Data")+($F$2:$F109="Under Review"))*($A$2:$A109&lt;&gt;"")*((IF($G$2:$G109="",99999999,$G$2:$G109))=IF($G109="",99999999,$G109))),"")</f>
        <v/>
      </c>
    </row>
    <row r="110" customFormat="false" ht="15" hidden="false" customHeight="false" outlineLevel="0" collapsed="false">
      <c r="A110" s="9"/>
      <c r="B110" s="9"/>
      <c r="C110" s="10" t="str">
        <f aca="false">IF($B110="","",IFERROR(INDEX('Client Master'!$C:$C,MATCH($B110,'Client Master'!$B:$B,0)),"Code not found"))</f>
        <v/>
      </c>
      <c r="D110" s="9"/>
      <c r="E110" s="9"/>
      <c r="F110" s="9"/>
      <c r="G110" s="11"/>
      <c r="H110" s="11"/>
      <c r="I110" s="9"/>
      <c r="J110" s="12"/>
      <c r="K110" s="11"/>
      <c r="L110" s="9"/>
      <c r="N110" s="0" t="str">
        <f aca="false">IF(AND($J110&gt;0,$K110="",$A110&lt;&gt;""),SUMPRODUCT(($J$2:$J$600&gt;0)*($K$2:$K$600="")*($A$2:$A$600&lt;&gt;"")*((IF($G$2:$G$600="",99999999,$G$2:$G$600))&lt;IF($G110="",99999999,$G110)))+SUMPRODUCT(($J$2:$J110&gt;0)*($K$2:$K110="")*($A$2:$A110&lt;&gt;"")*((IF($G$2:$G110="",99999999,$G$2:$G110))=IF($G110="",99999999,$G110))),"")</f>
        <v/>
      </c>
      <c r="O110" s="0" t="str">
        <f aca="false">IF(AND($F110="Not Started",$A110&lt;&gt;""),SUMPRODUCT(($F$2:$F$600="Not Started")*($A$2:$A$600&lt;&gt;"")*((IF($G$2:$G$600="",99999999,$G$2:$G$600))&lt;IF($G110="",99999999,$G110)))+SUMPRODUCT(($F$2:$F110="Not Started")*($A$2:$A110&lt;&gt;"")*((IF($G$2:$G110="",99999999,$G$2:$G110))=IF($G110="",99999999,$G110))),"")</f>
        <v/>
      </c>
      <c r="P110" s="0" t="str">
        <f aca="false">IF(AND(OR($F110="In Progress",$F110="Pending Client Data",$F110="Under Review"),$A110&lt;&gt;""),SUMPRODUCT((($F$2:$F$600="In Progress")+($F$2:$F$600="Pending Client Data")+($F$2:$F$600="Under Review"))*($A$2:$A$600&lt;&gt;"")*((IF($G$2:$G$600="",99999999,$G$2:$G$600))&lt;IF($G110="",99999999,$G110)))+SUMPRODUCT((($F$2:$F110="In Progress")+($F$2:$F110="Pending Client Data")+($F$2:$F110="Under Review"))*($A$2:$A110&lt;&gt;"")*((IF($G$2:$G110="",99999999,$G$2:$G110))=IF($G110="",99999999,$G110))),"")</f>
        <v/>
      </c>
    </row>
    <row r="111" customFormat="false" ht="15" hidden="false" customHeight="false" outlineLevel="0" collapsed="false">
      <c r="A111" s="9"/>
      <c r="B111" s="9"/>
      <c r="C111" s="10" t="str">
        <f aca="false">IF($B111="","",IFERROR(INDEX('Client Master'!$C:$C,MATCH($B111,'Client Master'!$B:$B,0)),"Code not found"))</f>
        <v/>
      </c>
      <c r="D111" s="9"/>
      <c r="E111" s="9"/>
      <c r="F111" s="9"/>
      <c r="G111" s="11"/>
      <c r="H111" s="11"/>
      <c r="I111" s="9"/>
      <c r="J111" s="12"/>
      <c r="K111" s="11"/>
      <c r="L111" s="9"/>
      <c r="N111" s="0" t="str">
        <f aca="false">IF(AND($J111&gt;0,$K111="",$A111&lt;&gt;""),SUMPRODUCT(($J$2:$J$600&gt;0)*($K$2:$K$600="")*($A$2:$A$600&lt;&gt;"")*((IF($G$2:$G$600="",99999999,$G$2:$G$600))&lt;IF($G111="",99999999,$G111)))+SUMPRODUCT(($J$2:$J111&gt;0)*($K$2:$K111="")*($A$2:$A111&lt;&gt;"")*((IF($G$2:$G111="",99999999,$G$2:$G111))=IF($G111="",99999999,$G111))),"")</f>
        <v/>
      </c>
      <c r="O111" s="0" t="str">
        <f aca="false">IF(AND($F111="Not Started",$A111&lt;&gt;""),SUMPRODUCT(($F$2:$F$600="Not Started")*($A$2:$A$600&lt;&gt;"")*((IF($G$2:$G$600="",99999999,$G$2:$G$600))&lt;IF($G111="",99999999,$G111)))+SUMPRODUCT(($F$2:$F111="Not Started")*($A$2:$A111&lt;&gt;"")*((IF($G$2:$G111="",99999999,$G$2:$G111))=IF($G111="",99999999,$G111))),"")</f>
        <v/>
      </c>
      <c r="P111" s="0" t="str">
        <f aca="false">IF(AND(OR($F111="In Progress",$F111="Pending Client Data",$F111="Under Review"),$A111&lt;&gt;""),SUMPRODUCT((($F$2:$F$600="In Progress")+($F$2:$F$600="Pending Client Data")+($F$2:$F$600="Under Review"))*($A$2:$A$600&lt;&gt;"")*((IF($G$2:$G$600="",99999999,$G$2:$G$600))&lt;IF($G111="",99999999,$G111)))+SUMPRODUCT((($F$2:$F111="In Progress")+($F$2:$F111="Pending Client Data")+($F$2:$F111="Under Review"))*($A$2:$A111&lt;&gt;"")*((IF($G$2:$G111="",99999999,$G$2:$G111))=IF($G111="",99999999,$G111))),"")</f>
        <v/>
      </c>
    </row>
    <row r="112" customFormat="false" ht="15" hidden="false" customHeight="false" outlineLevel="0" collapsed="false">
      <c r="A112" s="9"/>
      <c r="B112" s="9"/>
      <c r="C112" s="10" t="str">
        <f aca="false">IF($B112="","",IFERROR(INDEX('Client Master'!$C:$C,MATCH($B112,'Client Master'!$B:$B,0)),"Code not found"))</f>
        <v/>
      </c>
      <c r="D112" s="9"/>
      <c r="E112" s="9"/>
      <c r="F112" s="9"/>
      <c r="G112" s="11"/>
      <c r="H112" s="11"/>
      <c r="I112" s="9"/>
      <c r="J112" s="12"/>
      <c r="K112" s="11"/>
      <c r="L112" s="9"/>
      <c r="N112" s="0" t="str">
        <f aca="false">IF(AND($J112&gt;0,$K112="",$A112&lt;&gt;""),SUMPRODUCT(($J$2:$J$600&gt;0)*($K$2:$K$600="")*($A$2:$A$600&lt;&gt;"")*((IF($G$2:$G$600="",99999999,$G$2:$G$600))&lt;IF($G112="",99999999,$G112)))+SUMPRODUCT(($J$2:$J112&gt;0)*($K$2:$K112="")*($A$2:$A112&lt;&gt;"")*((IF($G$2:$G112="",99999999,$G$2:$G112))=IF($G112="",99999999,$G112))),"")</f>
        <v/>
      </c>
      <c r="O112" s="0" t="str">
        <f aca="false">IF(AND($F112="Not Started",$A112&lt;&gt;""),SUMPRODUCT(($F$2:$F$600="Not Started")*($A$2:$A$600&lt;&gt;"")*((IF($G$2:$G$600="",99999999,$G$2:$G$600))&lt;IF($G112="",99999999,$G112)))+SUMPRODUCT(($F$2:$F112="Not Started")*($A$2:$A112&lt;&gt;"")*((IF($G$2:$G112="",99999999,$G$2:$G112))=IF($G112="",99999999,$G112))),"")</f>
        <v/>
      </c>
      <c r="P112" s="0" t="str">
        <f aca="false">IF(AND(OR($F112="In Progress",$F112="Pending Client Data",$F112="Under Review"),$A112&lt;&gt;""),SUMPRODUCT((($F$2:$F$600="In Progress")+($F$2:$F$600="Pending Client Data")+($F$2:$F$600="Under Review"))*($A$2:$A$600&lt;&gt;"")*((IF($G$2:$G$600="",99999999,$G$2:$G$600))&lt;IF($G112="",99999999,$G112)))+SUMPRODUCT((($F$2:$F112="In Progress")+($F$2:$F112="Pending Client Data")+($F$2:$F112="Under Review"))*($A$2:$A112&lt;&gt;"")*((IF($G$2:$G112="",99999999,$G$2:$G112))=IF($G112="",99999999,$G112))),"")</f>
        <v/>
      </c>
    </row>
    <row r="113" customFormat="false" ht="15" hidden="false" customHeight="false" outlineLevel="0" collapsed="false">
      <c r="A113" s="9"/>
      <c r="B113" s="9"/>
      <c r="C113" s="10" t="str">
        <f aca="false">IF($B113="","",IFERROR(INDEX('Client Master'!$C:$C,MATCH($B113,'Client Master'!$B:$B,0)),"Code not found"))</f>
        <v/>
      </c>
      <c r="D113" s="9"/>
      <c r="E113" s="9"/>
      <c r="F113" s="9"/>
      <c r="G113" s="11"/>
      <c r="H113" s="11"/>
      <c r="I113" s="9"/>
      <c r="J113" s="12"/>
      <c r="K113" s="11"/>
      <c r="L113" s="9"/>
      <c r="N113" s="0" t="str">
        <f aca="false">IF(AND($J113&gt;0,$K113="",$A113&lt;&gt;""),SUMPRODUCT(($J$2:$J$600&gt;0)*($K$2:$K$600="")*($A$2:$A$600&lt;&gt;"")*((IF($G$2:$G$600="",99999999,$G$2:$G$600))&lt;IF($G113="",99999999,$G113)))+SUMPRODUCT(($J$2:$J113&gt;0)*($K$2:$K113="")*($A$2:$A113&lt;&gt;"")*((IF($G$2:$G113="",99999999,$G$2:$G113))=IF($G113="",99999999,$G113))),"")</f>
        <v/>
      </c>
      <c r="O113" s="0" t="str">
        <f aca="false">IF(AND($F113="Not Started",$A113&lt;&gt;""),SUMPRODUCT(($F$2:$F$600="Not Started")*($A$2:$A$600&lt;&gt;"")*((IF($G$2:$G$600="",99999999,$G$2:$G$600))&lt;IF($G113="",99999999,$G113)))+SUMPRODUCT(($F$2:$F113="Not Started")*($A$2:$A113&lt;&gt;"")*((IF($G$2:$G113="",99999999,$G$2:$G113))=IF($G113="",99999999,$G113))),"")</f>
        <v/>
      </c>
      <c r="P113" s="0" t="str">
        <f aca="false">IF(AND(OR($F113="In Progress",$F113="Pending Client Data",$F113="Under Review"),$A113&lt;&gt;""),SUMPRODUCT((($F$2:$F$600="In Progress")+($F$2:$F$600="Pending Client Data")+($F$2:$F$600="Under Review"))*($A$2:$A$600&lt;&gt;"")*((IF($G$2:$G$600="",99999999,$G$2:$G$600))&lt;IF($G113="",99999999,$G113)))+SUMPRODUCT((($F$2:$F113="In Progress")+($F$2:$F113="Pending Client Data")+($F$2:$F113="Under Review"))*($A$2:$A113&lt;&gt;"")*((IF($G$2:$G113="",99999999,$G$2:$G113))=IF($G113="",99999999,$G113))),"")</f>
        <v/>
      </c>
    </row>
    <row r="114" customFormat="false" ht="15" hidden="false" customHeight="false" outlineLevel="0" collapsed="false">
      <c r="A114" s="9"/>
      <c r="B114" s="9"/>
      <c r="C114" s="10" t="str">
        <f aca="false">IF($B114="","",IFERROR(INDEX('Client Master'!$C:$C,MATCH($B114,'Client Master'!$B:$B,0)),"Code not found"))</f>
        <v/>
      </c>
      <c r="D114" s="9"/>
      <c r="E114" s="9"/>
      <c r="F114" s="9"/>
      <c r="G114" s="11"/>
      <c r="H114" s="11"/>
      <c r="I114" s="9"/>
      <c r="J114" s="12"/>
      <c r="K114" s="11"/>
      <c r="L114" s="9"/>
      <c r="N114" s="0" t="str">
        <f aca="false">IF(AND($J114&gt;0,$K114="",$A114&lt;&gt;""),SUMPRODUCT(($J$2:$J$600&gt;0)*($K$2:$K$600="")*($A$2:$A$600&lt;&gt;"")*((IF($G$2:$G$600="",99999999,$G$2:$G$600))&lt;IF($G114="",99999999,$G114)))+SUMPRODUCT(($J$2:$J114&gt;0)*($K$2:$K114="")*($A$2:$A114&lt;&gt;"")*((IF($G$2:$G114="",99999999,$G$2:$G114))=IF($G114="",99999999,$G114))),"")</f>
        <v/>
      </c>
      <c r="O114" s="0" t="str">
        <f aca="false">IF(AND($F114="Not Started",$A114&lt;&gt;""),SUMPRODUCT(($F$2:$F$600="Not Started")*($A$2:$A$600&lt;&gt;"")*((IF($G$2:$G$600="",99999999,$G$2:$G$600))&lt;IF($G114="",99999999,$G114)))+SUMPRODUCT(($F$2:$F114="Not Started")*($A$2:$A114&lt;&gt;"")*((IF($G$2:$G114="",99999999,$G$2:$G114))=IF($G114="",99999999,$G114))),"")</f>
        <v/>
      </c>
      <c r="P114" s="0" t="str">
        <f aca="false">IF(AND(OR($F114="In Progress",$F114="Pending Client Data",$F114="Under Review"),$A114&lt;&gt;""),SUMPRODUCT((($F$2:$F$600="In Progress")+($F$2:$F$600="Pending Client Data")+($F$2:$F$600="Under Review"))*($A$2:$A$600&lt;&gt;"")*((IF($G$2:$G$600="",99999999,$G$2:$G$600))&lt;IF($G114="",99999999,$G114)))+SUMPRODUCT((($F$2:$F114="In Progress")+($F$2:$F114="Pending Client Data")+($F$2:$F114="Under Review"))*($A$2:$A114&lt;&gt;"")*((IF($G$2:$G114="",99999999,$G$2:$G114))=IF($G114="",99999999,$G114))),"")</f>
        <v/>
      </c>
    </row>
    <row r="115" customFormat="false" ht="15" hidden="false" customHeight="false" outlineLevel="0" collapsed="false">
      <c r="A115" s="9"/>
      <c r="B115" s="9"/>
      <c r="C115" s="10" t="str">
        <f aca="false">IF($B115="","",IFERROR(INDEX('Client Master'!$C:$C,MATCH($B115,'Client Master'!$B:$B,0)),"Code not found"))</f>
        <v/>
      </c>
      <c r="D115" s="9"/>
      <c r="E115" s="9"/>
      <c r="F115" s="9"/>
      <c r="G115" s="11"/>
      <c r="H115" s="11"/>
      <c r="I115" s="9"/>
      <c r="J115" s="12"/>
      <c r="K115" s="11"/>
      <c r="L115" s="9"/>
      <c r="N115" s="0" t="str">
        <f aca="false">IF(AND($J115&gt;0,$K115="",$A115&lt;&gt;""),SUMPRODUCT(($J$2:$J$600&gt;0)*($K$2:$K$600="")*($A$2:$A$600&lt;&gt;"")*((IF($G$2:$G$600="",99999999,$G$2:$G$600))&lt;IF($G115="",99999999,$G115)))+SUMPRODUCT(($J$2:$J115&gt;0)*($K$2:$K115="")*($A$2:$A115&lt;&gt;"")*((IF($G$2:$G115="",99999999,$G$2:$G115))=IF($G115="",99999999,$G115))),"")</f>
        <v/>
      </c>
      <c r="O115" s="0" t="str">
        <f aca="false">IF(AND($F115="Not Started",$A115&lt;&gt;""),SUMPRODUCT(($F$2:$F$600="Not Started")*($A$2:$A$600&lt;&gt;"")*((IF($G$2:$G$600="",99999999,$G$2:$G$600))&lt;IF($G115="",99999999,$G115)))+SUMPRODUCT(($F$2:$F115="Not Started")*($A$2:$A115&lt;&gt;"")*((IF($G$2:$G115="",99999999,$G$2:$G115))=IF($G115="",99999999,$G115))),"")</f>
        <v/>
      </c>
      <c r="P115" s="0" t="str">
        <f aca="false">IF(AND(OR($F115="In Progress",$F115="Pending Client Data",$F115="Under Review"),$A115&lt;&gt;""),SUMPRODUCT((($F$2:$F$600="In Progress")+($F$2:$F$600="Pending Client Data")+($F$2:$F$600="Under Review"))*($A$2:$A$600&lt;&gt;"")*((IF($G$2:$G$600="",99999999,$G$2:$G$600))&lt;IF($G115="",99999999,$G115)))+SUMPRODUCT((($F$2:$F115="In Progress")+($F$2:$F115="Pending Client Data")+($F$2:$F115="Under Review"))*($A$2:$A115&lt;&gt;"")*((IF($G$2:$G115="",99999999,$G$2:$G115))=IF($G115="",99999999,$G115))),"")</f>
        <v/>
      </c>
    </row>
    <row r="116" customFormat="false" ht="15" hidden="false" customHeight="false" outlineLevel="0" collapsed="false">
      <c r="A116" s="9"/>
      <c r="B116" s="9"/>
      <c r="C116" s="10" t="str">
        <f aca="false">IF($B116="","",IFERROR(INDEX('Client Master'!$C:$C,MATCH($B116,'Client Master'!$B:$B,0)),"Code not found"))</f>
        <v/>
      </c>
      <c r="D116" s="9"/>
      <c r="E116" s="9"/>
      <c r="F116" s="9"/>
      <c r="G116" s="11"/>
      <c r="H116" s="11"/>
      <c r="I116" s="9"/>
      <c r="J116" s="12"/>
      <c r="K116" s="11"/>
      <c r="L116" s="9"/>
      <c r="N116" s="0" t="str">
        <f aca="false">IF(AND($J116&gt;0,$K116="",$A116&lt;&gt;""),SUMPRODUCT(($J$2:$J$600&gt;0)*($K$2:$K$600="")*($A$2:$A$600&lt;&gt;"")*((IF($G$2:$G$600="",99999999,$G$2:$G$600))&lt;IF($G116="",99999999,$G116)))+SUMPRODUCT(($J$2:$J116&gt;0)*($K$2:$K116="")*($A$2:$A116&lt;&gt;"")*((IF($G$2:$G116="",99999999,$G$2:$G116))=IF($G116="",99999999,$G116))),"")</f>
        <v/>
      </c>
      <c r="O116" s="0" t="str">
        <f aca="false">IF(AND($F116="Not Started",$A116&lt;&gt;""),SUMPRODUCT(($F$2:$F$600="Not Started")*($A$2:$A$600&lt;&gt;"")*((IF($G$2:$G$600="",99999999,$G$2:$G$600))&lt;IF($G116="",99999999,$G116)))+SUMPRODUCT(($F$2:$F116="Not Started")*($A$2:$A116&lt;&gt;"")*((IF($G$2:$G116="",99999999,$G$2:$G116))=IF($G116="",99999999,$G116))),"")</f>
        <v/>
      </c>
      <c r="P116" s="0" t="str">
        <f aca="false">IF(AND(OR($F116="In Progress",$F116="Pending Client Data",$F116="Under Review"),$A116&lt;&gt;""),SUMPRODUCT((($F$2:$F$600="In Progress")+($F$2:$F$600="Pending Client Data")+($F$2:$F$600="Under Review"))*($A$2:$A$600&lt;&gt;"")*((IF($G$2:$G$600="",99999999,$G$2:$G$600))&lt;IF($G116="",99999999,$G116)))+SUMPRODUCT((($F$2:$F116="In Progress")+($F$2:$F116="Pending Client Data")+($F$2:$F116="Under Review"))*($A$2:$A116&lt;&gt;"")*((IF($G$2:$G116="",99999999,$G$2:$G116))=IF($G116="",99999999,$G116))),"")</f>
        <v/>
      </c>
    </row>
    <row r="117" customFormat="false" ht="15" hidden="false" customHeight="false" outlineLevel="0" collapsed="false">
      <c r="A117" s="9"/>
      <c r="B117" s="9"/>
      <c r="C117" s="10" t="str">
        <f aca="false">IF($B117="","",IFERROR(INDEX('Client Master'!$C:$C,MATCH($B117,'Client Master'!$B:$B,0)),"Code not found"))</f>
        <v/>
      </c>
      <c r="D117" s="9"/>
      <c r="E117" s="9"/>
      <c r="F117" s="9"/>
      <c r="G117" s="11"/>
      <c r="H117" s="11"/>
      <c r="I117" s="9"/>
      <c r="J117" s="12"/>
      <c r="K117" s="11"/>
      <c r="L117" s="9"/>
      <c r="N117" s="0" t="str">
        <f aca="false">IF(AND($J117&gt;0,$K117="",$A117&lt;&gt;""),SUMPRODUCT(($J$2:$J$600&gt;0)*($K$2:$K$600="")*($A$2:$A$600&lt;&gt;"")*((IF($G$2:$G$600="",99999999,$G$2:$G$600))&lt;IF($G117="",99999999,$G117)))+SUMPRODUCT(($J$2:$J117&gt;0)*($K$2:$K117="")*($A$2:$A117&lt;&gt;"")*((IF($G$2:$G117="",99999999,$G$2:$G117))=IF($G117="",99999999,$G117))),"")</f>
        <v/>
      </c>
      <c r="O117" s="0" t="str">
        <f aca="false">IF(AND($F117="Not Started",$A117&lt;&gt;""),SUMPRODUCT(($F$2:$F$600="Not Started")*($A$2:$A$600&lt;&gt;"")*((IF($G$2:$G$600="",99999999,$G$2:$G$600))&lt;IF($G117="",99999999,$G117)))+SUMPRODUCT(($F$2:$F117="Not Started")*($A$2:$A117&lt;&gt;"")*((IF($G$2:$G117="",99999999,$G$2:$G117))=IF($G117="",99999999,$G117))),"")</f>
        <v/>
      </c>
      <c r="P117" s="0" t="str">
        <f aca="false">IF(AND(OR($F117="In Progress",$F117="Pending Client Data",$F117="Under Review"),$A117&lt;&gt;""),SUMPRODUCT((($F$2:$F$600="In Progress")+($F$2:$F$600="Pending Client Data")+($F$2:$F$600="Under Review"))*($A$2:$A$600&lt;&gt;"")*((IF($G$2:$G$600="",99999999,$G$2:$G$600))&lt;IF($G117="",99999999,$G117)))+SUMPRODUCT((($F$2:$F117="In Progress")+($F$2:$F117="Pending Client Data")+($F$2:$F117="Under Review"))*($A$2:$A117&lt;&gt;"")*((IF($G$2:$G117="",99999999,$G$2:$G117))=IF($G117="",99999999,$G117))),"")</f>
        <v/>
      </c>
    </row>
    <row r="118" customFormat="false" ht="15" hidden="false" customHeight="false" outlineLevel="0" collapsed="false">
      <c r="A118" s="9"/>
      <c r="B118" s="9"/>
      <c r="C118" s="10" t="str">
        <f aca="false">IF($B118="","",IFERROR(INDEX('Client Master'!$C:$C,MATCH($B118,'Client Master'!$B:$B,0)),"Code not found"))</f>
        <v/>
      </c>
      <c r="D118" s="9"/>
      <c r="E118" s="9"/>
      <c r="F118" s="9"/>
      <c r="G118" s="11"/>
      <c r="H118" s="11"/>
      <c r="I118" s="9"/>
      <c r="J118" s="12"/>
      <c r="K118" s="11"/>
      <c r="L118" s="9"/>
      <c r="N118" s="0" t="str">
        <f aca="false">IF(AND($J118&gt;0,$K118="",$A118&lt;&gt;""),SUMPRODUCT(($J$2:$J$600&gt;0)*($K$2:$K$600="")*($A$2:$A$600&lt;&gt;"")*((IF($G$2:$G$600="",99999999,$G$2:$G$600))&lt;IF($G118="",99999999,$G118)))+SUMPRODUCT(($J$2:$J118&gt;0)*($K$2:$K118="")*($A$2:$A118&lt;&gt;"")*((IF($G$2:$G118="",99999999,$G$2:$G118))=IF($G118="",99999999,$G118))),"")</f>
        <v/>
      </c>
      <c r="O118" s="0" t="str">
        <f aca="false">IF(AND($F118="Not Started",$A118&lt;&gt;""),SUMPRODUCT(($F$2:$F$600="Not Started")*($A$2:$A$600&lt;&gt;"")*((IF($G$2:$G$600="",99999999,$G$2:$G$600))&lt;IF($G118="",99999999,$G118)))+SUMPRODUCT(($F$2:$F118="Not Started")*($A$2:$A118&lt;&gt;"")*((IF($G$2:$G118="",99999999,$G$2:$G118))=IF($G118="",99999999,$G118))),"")</f>
        <v/>
      </c>
      <c r="P118" s="0" t="str">
        <f aca="false">IF(AND(OR($F118="In Progress",$F118="Pending Client Data",$F118="Under Review"),$A118&lt;&gt;""),SUMPRODUCT((($F$2:$F$600="In Progress")+($F$2:$F$600="Pending Client Data")+($F$2:$F$600="Under Review"))*($A$2:$A$600&lt;&gt;"")*((IF($G$2:$G$600="",99999999,$G$2:$G$600))&lt;IF($G118="",99999999,$G118)))+SUMPRODUCT((($F$2:$F118="In Progress")+($F$2:$F118="Pending Client Data")+($F$2:$F118="Under Review"))*($A$2:$A118&lt;&gt;"")*((IF($G$2:$G118="",99999999,$G$2:$G118))=IF($G118="",99999999,$G118))),"")</f>
        <v/>
      </c>
    </row>
    <row r="119" customFormat="false" ht="15" hidden="false" customHeight="false" outlineLevel="0" collapsed="false">
      <c r="A119" s="9"/>
      <c r="B119" s="9"/>
      <c r="C119" s="10" t="str">
        <f aca="false">IF($B119="","",IFERROR(INDEX('Client Master'!$C:$C,MATCH($B119,'Client Master'!$B:$B,0)),"Code not found"))</f>
        <v/>
      </c>
      <c r="D119" s="9"/>
      <c r="E119" s="9"/>
      <c r="F119" s="9"/>
      <c r="G119" s="11"/>
      <c r="H119" s="11"/>
      <c r="I119" s="9"/>
      <c r="J119" s="12"/>
      <c r="K119" s="11"/>
      <c r="L119" s="9"/>
      <c r="N119" s="0" t="str">
        <f aca="false">IF(AND($J119&gt;0,$K119="",$A119&lt;&gt;""),SUMPRODUCT(($J$2:$J$600&gt;0)*($K$2:$K$600="")*($A$2:$A$600&lt;&gt;"")*((IF($G$2:$G$600="",99999999,$G$2:$G$600))&lt;IF($G119="",99999999,$G119)))+SUMPRODUCT(($J$2:$J119&gt;0)*($K$2:$K119="")*($A$2:$A119&lt;&gt;"")*((IF($G$2:$G119="",99999999,$G$2:$G119))=IF($G119="",99999999,$G119))),"")</f>
        <v/>
      </c>
      <c r="O119" s="0" t="str">
        <f aca="false">IF(AND($F119="Not Started",$A119&lt;&gt;""),SUMPRODUCT(($F$2:$F$600="Not Started")*($A$2:$A$600&lt;&gt;"")*((IF($G$2:$G$600="",99999999,$G$2:$G$600))&lt;IF($G119="",99999999,$G119)))+SUMPRODUCT(($F$2:$F119="Not Started")*($A$2:$A119&lt;&gt;"")*((IF($G$2:$G119="",99999999,$G$2:$G119))=IF($G119="",99999999,$G119))),"")</f>
        <v/>
      </c>
      <c r="P119" s="0" t="str">
        <f aca="false">IF(AND(OR($F119="In Progress",$F119="Pending Client Data",$F119="Under Review"),$A119&lt;&gt;""),SUMPRODUCT((($F$2:$F$600="In Progress")+($F$2:$F$600="Pending Client Data")+($F$2:$F$600="Under Review"))*($A$2:$A$600&lt;&gt;"")*((IF($G$2:$G$600="",99999999,$G$2:$G$600))&lt;IF($G119="",99999999,$G119)))+SUMPRODUCT((($F$2:$F119="In Progress")+($F$2:$F119="Pending Client Data")+($F$2:$F119="Under Review"))*($A$2:$A119&lt;&gt;"")*((IF($G$2:$G119="",99999999,$G$2:$G119))=IF($G119="",99999999,$G119))),"")</f>
        <v/>
      </c>
    </row>
    <row r="120" customFormat="false" ht="15" hidden="false" customHeight="false" outlineLevel="0" collapsed="false">
      <c r="A120" s="9"/>
      <c r="B120" s="9"/>
      <c r="C120" s="10" t="str">
        <f aca="false">IF($B120="","",IFERROR(INDEX('Client Master'!$C:$C,MATCH($B120,'Client Master'!$B:$B,0)),"Code not found"))</f>
        <v/>
      </c>
      <c r="D120" s="9"/>
      <c r="E120" s="9"/>
      <c r="F120" s="9"/>
      <c r="G120" s="11"/>
      <c r="H120" s="11"/>
      <c r="I120" s="9"/>
      <c r="J120" s="12"/>
      <c r="K120" s="11"/>
      <c r="L120" s="9"/>
      <c r="N120" s="0" t="str">
        <f aca="false">IF(AND($J120&gt;0,$K120="",$A120&lt;&gt;""),SUMPRODUCT(($J$2:$J$600&gt;0)*($K$2:$K$600="")*($A$2:$A$600&lt;&gt;"")*((IF($G$2:$G$600="",99999999,$G$2:$G$600))&lt;IF($G120="",99999999,$G120)))+SUMPRODUCT(($J$2:$J120&gt;0)*($K$2:$K120="")*($A$2:$A120&lt;&gt;"")*((IF($G$2:$G120="",99999999,$G$2:$G120))=IF($G120="",99999999,$G120))),"")</f>
        <v/>
      </c>
      <c r="O120" s="0" t="str">
        <f aca="false">IF(AND($F120="Not Started",$A120&lt;&gt;""),SUMPRODUCT(($F$2:$F$600="Not Started")*($A$2:$A$600&lt;&gt;"")*((IF($G$2:$G$600="",99999999,$G$2:$G$600))&lt;IF($G120="",99999999,$G120)))+SUMPRODUCT(($F$2:$F120="Not Started")*($A$2:$A120&lt;&gt;"")*((IF($G$2:$G120="",99999999,$G$2:$G120))=IF($G120="",99999999,$G120))),"")</f>
        <v/>
      </c>
      <c r="P120" s="0" t="str">
        <f aca="false">IF(AND(OR($F120="In Progress",$F120="Pending Client Data",$F120="Under Review"),$A120&lt;&gt;""),SUMPRODUCT((($F$2:$F$600="In Progress")+($F$2:$F$600="Pending Client Data")+($F$2:$F$600="Under Review"))*($A$2:$A$600&lt;&gt;"")*((IF($G$2:$G$600="",99999999,$G$2:$G$600))&lt;IF($G120="",99999999,$G120)))+SUMPRODUCT((($F$2:$F120="In Progress")+($F$2:$F120="Pending Client Data")+($F$2:$F120="Under Review"))*($A$2:$A120&lt;&gt;"")*((IF($G$2:$G120="",99999999,$G$2:$G120))=IF($G120="",99999999,$G120))),"")</f>
        <v/>
      </c>
    </row>
    <row r="121" customFormat="false" ht="15" hidden="false" customHeight="false" outlineLevel="0" collapsed="false">
      <c r="A121" s="9"/>
      <c r="B121" s="9"/>
      <c r="C121" s="10" t="str">
        <f aca="false">IF($B121="","",IFERROR(INDEX('Client Master'!$C:$C,MATCH($B121,'Client Master'!$B:$B,0)),"Code not found"))</f>
        <v/>
      </c>
      <c r="D121" s="9"/>
      <c r="E121" s="9"/>
      <c r="F121" s="9"/>
      <c r="G121" s="11"/>
      <c r="H121" s="11"/>
      <c r="I121" s="9"/>
      <c r="J121" s="12"/>
      <c r="K121" s="11"/>
      <c r="L121" s="9"/>
      <c r="N121" s="0" t="str">
        <f aca="false">IF(AND($J121&gt;0,$K121="",$A121&lt;&gt;""),SUMPRODUCT(($J$2:$J$600&gt;0)*($K$2:$K$600="")*($A$2:$A$600&lt;&gt;"")*((IF($G$2:$G$600="",99999999,$G$2:$G$600))&lt;IF($G121="",99999999,$G121)))+SUMPRODUCT(($J$2:$J121&gt;0)*($K$2:$K121="")*($A$2:$A121&lt;&gt;"")*((IF($G$2:$G121="",99999999,$G$2:$G121))=IF($G121="",99999999,$G121))),"")</f>
        <v/>
      </c>
      <c r="O121" s="0" t="str">
        <f aca="false">IF(AND($F121="Not Started",$A121&lt;&gt;""),SUMPRODUCT(($F$2:$F$600="Not Started")*($A$2:$A$600&lt;&gt;"")*((IF($G$2:$G$600="",99999999,$G$2:$G$600))&lt;IF($G121="",99999999,$G121)))+SUMPRODUCT(($F$2:$F121="Not Started")*($A$2:$A121&lt;&gt;"")*((IF($G$2:$G121="",99999999,$G$2:$G121))=IF($G121="",99999999,$G121))),"")</f>
        <v/>
      </c>
      <c r="P121" s="0" t="str">
        <f aca="false">IF(AND(OR($F121="In Progress",$F121="Pending Client Data",$F121="Under Review"),$A121&lt;&gt;""),SUMPRODUCT((($F$2:$F$600="In Progress")+($F$2:$F$600="Pending Client Data")+($F$2:$F$600="Under Review"))*($A$2:$A$600&lt;&gt;"")*((IF($G$2:$G$600="",99999999,$G$2:$G$600))&lt;IF($G121="",99999999,$G121)))+SUMPRODUCT((($F$2:$F121="In Progress")+($F$2:$F121="Pending Client Data")+($F$2:$F121="Under Review"))*($A$2:$A121&lt;&gt;"")*((IF($G$2:$G121="",99999999,$G$2:$G121))=IF($G121="",99999999,$G121))),"")</f>
        <v/>
      </c>
    </row>
    <row r="122" customFormat="false" ht="15" hidden="false" customHeight="false" outlineLevel="0" collapsed="false">
      <c r="A122" s="9"/>
      <c r="B122" s="9"/>
      <c r="C122" s="10" t="str">
        <f aca="false">IF($B122="","",IFERROR(INDEX('Client Master'!$C:$C,MATCH($B122,'Client Master'!$B:$B,0)),"Code not found"))</f>
        <v/>
      </c>
      <c r="D122" s="9"/>
      <c r="E122" s="9"/>
      <c r="F122" s="9"/>
      <c r="G122" s="11"/>
      <c r="H122" s="11"/>
      <c r="I122" s="9"/>
      <c r="J122" s="12"/>
      <c r="K122" s="11"/>
      <c r="L122" s="9"/>
      <c r="N122" s="0" t="str">
        <f aca="false">IF(AND($J122&gt;0,$K122="",$A122&lt;&gt;""),SUMPRODUCT(($J$2:$J$600&gt;0)*($K$2:$K$600="")*($A$2:$A$600&lt;&gt;"")*((IF($G$2:$G$600="",99999999,$G$2:$G$600))&lt;IF($G122="",99999999,$G122)))+SUMPRODUCT(($J$2:$J122&gt;0)*($K$2:$K122="")*($A$2:$A122&lt;&gt;"")*((IF($G$2:$G122="",99999999,$G$2:$G122))=IF($G122="",99999999,$G122))),"")</f>
        <v/>
      </c>
      <c r="O122" s="0" t="str">
        <f aca="false">IF(AND($F122="Not Started",$A122&lt;&gt;""),SUMPRODUCT(($F$2:$F$600="Not Started")*($A$2:$A$600&lt;&gt;"")*((IF($G$2:$G$600="",99999999,$G$2:$G$600))&lt;IF($G122="",99999999,$G122)))+SUMPRODUCT(($F$2:$F122="Not Started")*($A$2:$A122&lt;&gt;"")*((IF($G$2:$G122="",99999999,$G$2:$G122))=IF($G122="",99999999,$G122))),"")</f>
        <v/>
      </c>
      <c r="P122" s="0" t="str">
        <f aca="false">IF(AND(OR($F122="In Progress",$F122="Pending Client Data",$F122="Under Review"),$A122&lt;&gt;""),SUMPRODUCT((($F$2:$F$600="In Progress")+($F$2:$F$600="Pending Client Data")+($F$2:$F$600="Under Review"))*($A$2:$A$600&lt;&gt;"")*((IF($G$2:$G$600="",99999999,$G$2:$G$600))&lt;IF($G122="",99999999,$G122)))+SUMPRODUCT((($F$2:$F122="In Progress")+($F$2:$F122="Pending Client Data")+($F$2:$F122="Under Review"))*($A$2:$A122&lt;&gt;"")*((IF($G$2:$G122="",99999999,$G$2:$G122))=IF($G122="",99999999,$G122))),"")</f>
        <v/>
      </c>
    </row>
    <row r="123" customFormat="false" ht="15" hidden="false" customHeight="false" outlineLevel="0" collapsed="false">
      <c r="A123" s="9"/>
      <c r="B123" s="9"/>
      <c r="C123" s="10" t="str">
        <f aca="false">IF($B123="","",IFERROR(INDEX('Client Master'!$C:$C,MATCH($B123,'Client Master'!$B:$B,0)),"Code not found"))</f>
        <v/>
      </c>
      <c r="D123" s="9"/>
      <c r="E123" s="9"/>
      <c r="F123" s="9"/>
      <c r="G123" s="11"/>
      <c r="H123" s="11"/>
      <c r="I123" s="9"/>
      <c r="J123" s="12"/>
      <c r="K123" s="11"/>
      <c r="L123" s="9"/>
      <c r="N123" s="0" t="str">
        <f aca="false">IF(AND($J123&gt;0,$K123="",$A123&lt;&gt;""),SUMPRODUCT(($J$2:$J$600&gt;0)*($K$2:$K$600="")*($A$2:$A$600&lt;&gt;"")*((IF($G$2:$G$600="",99999999,$G$2:$G$600))&lt;IF($G123="",99999999,$G123)))+SUMPRODUCT(($J$2:$J123&gt;0)*($K$2:$K123="")*($A$2:$A123&lt;&gt;"")*((IF($G$2:$G123="",99999999,$G$2:$G123))=IF($G123="",99999999,$G123))),"")</f>
        <v/>
      </c>
      <c r="O123" s="0" t="str">
        <f aca="false">IF(AND($F123="Not Started",$A123&lt;&gt;""),SUMPRODUCT(($F$2:$F$600="Not Started")*($A$2:$A$600&lt;&gt;"")*((IF($G$2:$G$600="",99999999,$G$2:$G$600))&lt;IF($G123="",99999999,$G123)))+SUMPRODUCT(($F$2:$F123="Not Started")*($A$2:$A123&lt;&gt;"")*((IF($G$2:$G123="",99999999,$G$2:$G123))=IF($G123="",99999999,$G123))),"")</f>
        <v/>
      </c>
      <c r="P123" s="0" t="str">
        <f aca="false">IF(AND(OR($F123="In Progress",$F123="Pending Client Data",$F123="Under Review"),$A123&lt;&gt;""),SUMPRODUCT((($F$2:$F$600="In Progress")+($F$2:$F$600="Pending Client Data")+($F$2:$F$600="Under Review"))*($A$2:$A$600&lt;&gt;"")*((IF($G$2:$G$600="",99999999,$G$2:$G$600))&lt;IF($G123="",99999999,$G123)))+SUMPRODUCT((($F$2:$F123="In Progress")+($F$2:$F123="Pending Client Data")+($F$2:$F123="Under Review"))*($A$2:$A123&lt;&gt;"")*((IF($G$2:$G123="",99999999,$G$2:$G123))=IF($G123="",99999999,$G123))),"")</f>
        <v/>
      </c>
    </row>
    <row r="124" customFormat="false" ht="15" hidden="false" customHeight="false" outlineLevel="0" collapsed="false">
      <c r="A124" s="9"/>
      <c r="B124" s="9"/>
      <c r="C124" s="10" t="str">
        <f aca="false">IF($B124="","",IFERROR(INDEX('Client Master'!$C:$C,MATCH($B124,'Client Master'!$B:$B,0)),"Code not found"))</f>
        <v/>
      </c>
      <c r="D124" s="9"/>
      <c r="E124" s="9"/>
      <c r="F124" s="9"/>
      <c r="G124" s="11"/>
      <c r="H124" s="11"/>
      <c r="I124" s="9"/>
      <c r="J124" s="12"/>
      <c r="K124" s="11"/>
      <c r="L124" s="9"/>
      <c r="N124" s="0" t="str">
        <f aca="false">IF(AND($J124&gt;0,$K124="",$A124&lt;&gt;""),SUMPRODUCT(($J$2:$J$600&gt;0)*($K$2:$K$600="")*($A$2:$A$600&lt;&gt;"")*((IF($G$2:$G$600="",99999999,$G$2:$G$600))&lt;IF($G124="",99999999,$G124)))+SUMPRODUCT(($J$2:$J124&gt;0)*($K$2:$K124="")*($A$2:$A124&lt;&gt;"")*((IF($G$2:$G124="",99999999,$G$2:$G124))=IF($G124="",99999999,$G124))),"")</f>
        <v/>
      </c>
      <c r="O124" s="0" t="str">
        <f aca="false">IF(AND($F124="Not Started",$A124&lt;&gt;""),SUMPRODUCT(($F$2:$F$600="Not Started")*($A$2:$A$600&lt;&gt;"")*((IF($G$2:$G$600="",99999999,$G$2:$G$600))&lt;IF($G124="",99999999,$G124)))+SUMPRODUCT(($F$2:$F124="Not Started")*($A$2:$A124&lt;&gt;"")*((IF($G$2:$G124="",99999999,$G$2:$G124))=IF($G124="",99999999,$G124))),"")</f>
        <v/>
      </c>
      <c r="P124" s="0" t="str">
        <f aca="false">IF(AND(OR($F124="In Progress",$F124="Pending Client Data",$F124="Under Review"),$A124&lt;&gt;""),SUMPRODUCT((($F$2:$F$600="In Progress")+($F$2:$F$600="Pending Client Data")+($F$2:$F$600="Under Review"))*($A$2:$A$600&lt;&gt;"")*((IF($G$2:$G$600="",99999999,$G$2:$G$600))&lt;IF($G124="",99999999,$G124)))+SUMPRODUCT((($F$2:$F124="In Progress")+($F$2:$F124="Pending Client Data")+($F$2:$F124="Under Review"))*($A$2:$A124&lt;&gt;"")*((IF($G$2:$G124="",99999999,$G$2:$G124))=IF($G124="",99999999,$G124))),"")</f>
        <v/>
      </c>
    </row>
    <row r="125" customFormat="false" ht="15" hidden="false" customHeight="false" outlineLevel="0" collapsed="false">
      <c r="A125" s="9"/>
      <c r="B125" s="9"/>
      <c r="C125" s="10" t="str">
        <f aca="false">IF($B125="","",IFERROR(INDEX('Client Master'!$C:$C,MATCH($B125,'Client Master'!$B:$B,0)),"Code not found"))</f>
        <v/>
      </c>
      <c r="D125" s="9"/>
      <c r="E125" s="9"/>
      <c r="F125" s="9"/>
      <c r="G125" s="11"/>
      <c r="H125" s="11"/>
      <c r="I125" s="9"/>
      <c r="J125" s="12"/>
      <c r="K125" s="11"/>
      <c r="L125" s="9"/>
      <c r="N125" s="0" t="str">
        <f aca="false">IF(AND($J125&gt;0,$K125="",$A125&lt;&gt;""),SUMPRODUCT(($J$2:$J$600&gt;0)*($K$2:$K$600="")*($A$2:$A$600&lt;&gt;"")*((IF($G$2:$G$600="",99999999,$G$2:$G$600))&lt;IF($G125="",99999999,$G125)))+SUMPRODUCT(($J$2:$J125&gt;0)*($K$2:$K125="")*($A$2:$A125&lt;&gt;"")*((IF($G$2:$G125="",99999999,$G$2:$G125))=IF($G125="",99999999,$G125))),"")</f>
        <v/>
      </c>
      <c r="O125" s="0" t="str">
        <f aca="false">IF(AND($F125="Not Started",$A125&lt;&gt;""),SUMPRODUCT(($F$2:$F$600="Not Started")*($A$2:$A$600&lt;&gt;"")*((IF($G$2:$G$600="",99999999,$G$2:$G$600))&lt;IF($G125="",99999999,$G125)))+SUMPRODUCT(($F$2:$F125="Not Started")*($A$2:$A125&lt;&gt;"")*((IF($G$2:$G125="",99999999,$G$2:$G125))=IF($G125="",99999999,$G125))),"")</f>
        <v/>
      </c>
      <c r="P125" s="0" t="str">
        <f aca="false">IF(AND(OR($F125="In Progress",$F125="Pending Client Data",$F125="Under Review"),$A125&lt;&gt;""),SUMPRODUCT((($F$2:$F$600="In Progress")+($F$2:$F$600="Pending Client Data")+($F$2:$F$600="Under Review"))*($A$2:$A$600&lt;&gt;"")*((IF($G$2:$G$600="",99999999,$G$2:$G$600))&lt;IF($G125="",99999999,$G125)))+SUMPRODUCT((($F$2:$F125="In Progress")+($F$2:$F125="Pending Client Data")+($F$2:$F125="Under Review"))*($A$2:$A125&lt;&gt;"")*((IF($G$2:$G125="",99999999,$G$2:$G125))=IF($G125="",99999999,$G125))),"")</f>
        <v/>
      </c>
    </row>
    <row r="126" customFormat="false" ht="15" hidden="false" customHeight="false" outlineLevel="0" collapsed="false">
      <c r="A126" s="9"/>
      <c r="B126" s="9"/>
      <c r="C126" s="10" t="str">
        <f aca="false">IF($B126="","",IFERROR(INDEX('Client Master'!$C:$C,MATCH($B126,'Client Master'!$B:$B,0)),"Code not found"))</f>
        <v/>
      </c>
      <c r="D126" s="9"/>
      <c r="E126" s="9"/>
      <c r="F126" s="9"/>
      <c r="G126" s="11"/>
      <c r="H126" s="11"/>
      <c r="I126" s="9"/>
      <c r="J126" s="12"/>
      <c r="K126" s="11"/>
      <c r="L126" s="9"/>
      <c r="N126" s="0" t="str">
        <f aca="false">IF(AND($J126&gt;0,$K126="",$A126&lt;&gt;""),SUMPRODUCT(($J$2:$J$600&gt;0)*($K$2:$K$600="")*($A$2:$A$600&lt;&gt;"")*((IF($G$2:$G$600="",99999999,$G$2:$G$600))&lt;IF($G126="",99999999,$G126)))+SUMPRODUCT(($J$2:$J126&gt;0)*($K$2:$K126="")*($A$2:$A126&lt;&gt;"")*((IF($G$2:$G126="",99999999,$G$2:$G126))=IF($G126="",99999999,$G126))),"")</f>
        <v/>
      </c>
      <c r="O126" s="0" t="str">
        <f aca="false">IF(AND($F126="Not Started",$A126&lt;&gt;""),SUMPRODUCT(($F$2:$F$600="Not Started")*($A$2:$A$600&lt;&gt;"")*((IF($G$2:$G$600="",99999999,$G$2:$G$600))&lt;IF($G126="",99999999,$G126)))+SUMPRODUCT(($F$2:$F126="Not Started")*($A$2:$A126&lt;&gt;"")*((IF($G$2:$G126="",99999999,$G$2:$G126))=IF($G126="",99999999,$G126))),"")</f>
        <v/>
      </c>
      <c r="P126" s="0" t="str">
        <f aca="false">IF(AND(OR($F126="In Progress",$F126="Pending Client Data",$F126="Under Review"),$A126&lt;&gt;""),SUMPRODUCT((($F$2:$F$600="In Progress")+($F$2:$F$600="Pending Client Data")+($F$2:$F$600="Under Review"))*($A$2:$A$600&lt;&gt;"")*((IF($G$2:$G$600="",99999999,$G$2:$G$600))&lt;IF($G126="",99999999,$G126)))+SUMPRODUCT((($F$2:$F126="In Progress")+($F$2:$F126="Pending Client Data")+($F$2:$F126="Under Review"))*($A$2:$A126&lt;&gt;"")*((IF($G$2:$G126="",99999999,$G$2:$G126))=IF($G126="",99999999,$G126))),"")</f>
        <v/>
      </c>
    </row>
    <row r="127" customFormat="false" ht="15" hidden="false" customHeight="false" outlineLevel="0" collapsed="false">
      <c r="A127" s="9"/>
      <c r="B127" s="9"/>
      <c r="C127" s="10" t="str">
        <f aca="false">IF($B127="","",IFERROR(INDEX('Client Master'!$C:$C,MATCH($B127,'Client Master'!$B:$B,0)),"Code not found"))</f>
        <v/>
      </c>
      <c r="D127" s="9"/>
      <c r="E127" s="9"/>
      <c r="F127" s="9"/>
      <c r="G127" s="11"/>
      <c r="H127" s="11"/>
      <c r="I127" s="9"/>
      <c r="J127" s="12"/>
      <c r="K127" s="11"/>
      <c r="L127" s="9"/>
      <c r="N127" s="0" t="str">
        <f aca="false">IF(AND($J127&gt;0,$K127="",$A127&lt;&gt;""),SUMPRODUCT(($J$2:$J$600&gt;0)*($K$2:$K$600="")*($A$2:$A$600&lt;&gt;"")*((IF($G$2:$G$600="",99999999,$G$2:$G$600))&lt;IF($G127="",99999999,$G127)))+SUMPRODUCT(($J$2:$J127&gt;0)*($K$2:$K127="")*($A$2:$A127&lt;&gt;"")*((IF($G$2:$G127="",99999999,$G$2:$G127))=IF($G127="",99999999,$G127))),"")</f>
        <v/>
      </c>
      <c r="O127" s="0" t="str">
        <f aca="false">IF(AND($F127="Not Started",$A127&lt;&gt;""),SUMPRODUCT(($F$2:$F$600="Not Started")*($A$2:$A$600&lt;&gt;"")*((IF($G$2:$G$600="",99999999,$G$2:$G$600))&lt;IF($G127="",99999999,$G127)))+SUMPRODUCT(($F$2:$F127="Not Started")*($A$2:$A127&lt;&gt;"")*((IF($G$2:$G127="",99999999,$G$2:$G127))=IF($G127="",99999999,$G127))),"")</f>
        <v/>
      </c>
      <c r="P127" s="0" t="str">
        <f aca="false">IF(AND(OR($F127="In Progress",$F127="Pending Client Data",$F127="Under Review"),$A127&lt;&gt;""),SUMPRODUCT((($F$2:$F$600="In Progress")+($F$2:$F$600="Pending Client Data")+($F$2:$F$600="Under Review"))*($A$2:$A$600&lt;&gt;"")*((IF($G$2:$G$600="",99999999,$G$2:$G$600))&lt;IF($G127="",99999999,$G127)))+SUMPRODUCT((($F$2:$F127="In Progress")+($F$2:$F127="Pending Client Data")+($F$2:$F127="Under Review"))*($A$2:$A127&lt;&gt;"")*((IF($G$2:$G127="",99999999,$G$2:$G127))=IF($G127="",99999999,$G127))),"")</f>
        <v/>
      </c>
    </row>
    <row r="128" customFormat="false" ht="15" hidden="false" customHeight="false" outlineLevel="0" collapsed="false">
      <c r="A128" s="9"/>
      <c r="B128" s="9"/>
      <c r="C128" s="10" t="str">
        <f aca="false">IF($B128="","",IFERROR(INDEX('Client Master'!$C:$C,MATCH($B128,'Client Master'!$B:$B,0)),"Code not found"))</f>
        <v/>
      </c>
      <c r="D128" s="9"/>
      <c r="E128" s="9"/>
      <c r="F128" s="9"/>
      <c r="G128" s="11"/>
      <c r="H128" s="11"/>
      <c r="I128" s="9"/>
      <c r="J128" s="12"/>
      <c r="K128" s="11"/>
      <c r="L128" s="9"/>
      <c r="N128" s="0" t="str">
        <f aca="false">IF(AND($J128&gt;0,$K128="",$A128&lt;&gt;""),SUMPRODUCT(($J$2:$J$600&gt;0)*($K$2:$K$600="")*($A$2:$A$600&lt;&gt;"")*((IF($G$2:$G$600="",99999999,$G$2:$G$600))&lt;IF($G128="",99999999,$G128)))+SUMPRODUCT(($J$2:$J128&gt;0)*($K$2:$K128="")*($A$2:$A128&lt;&gt;"")*((IF($G$2:$G128="",99999999,$G$2:$G128))=IF($G128="",99999999,$G128))),"")</f>
        <v/>
      </c>
      <c r="O128" s="0" t="str">
        <f aca="false">IF(AND($F128="Not Started",$A128&lt;&gt;""),SUMPRODUCT(($F$2:$F$600="Not Started")*($A$2:$A$600&lt;&gt;"")*((IF($G$2:$G$600="",99999999,$G$2:$G$600))&lt;IF($G128="",99999999,$G128)))+SUMPRODUCT(($F$2:$F128="Not Started")*($A$2:$A128&lt;&gt;"")*((IF($G$2:$G128="",99999999,$G$2:$G128))=IF($G128="",99999999,$G128))),"")</f>
        <v/>
      </c>
      <c r="P128" s="0" t="str">
        <f aca="false">IF(AND(OR($F128="In Progress",$F128="Pending Client Data",$F128="Under Review"),$A128&lt;&gt;""),SUMPRODUCT((($F$2:$F$600="In Progress")+($F$2:$F$600="Pending Client Data")+($F$2:$F$600="Under Review"))*($A$2:$A$600&lt;&gt;"")*((IF($G$2:$G$600="",99999999,$G$2:$G$600))&lt;IF($G128="",99999999,$G128)))+SUMPRODUCT((($F$2:$F128="In Progress")+($F$2:$F128="Pending Client Data")+($F$2:$F128="Under Review"))*($A$2:$A128&lt;&gt;"")*((IF($G$2:$G128="",99999999,$G$2:$G128))=IF($G128="",99999999,$G128))),"")</f>
        <v/>
      </c>
    </row>
    <row r="129" customFormat="false" ht="15" hidden="false" customHeight="false" outlineLevel="0" collapsed="false">
      <c r="A129" s="9"/>
      <c r="B129" s="9"/>
      <c r="C129" s="10" t="str">
        <f aca="false">IF($B129="","",IFERROR(INDEX('Client Master'!$C:$C,MATCH($B129,'Client Master'!$B:$B,0)),"Code not found"))</f>
        <v/>
      </c>
      <c r="D129" s="9"/>
      <c r="E129" s="9"/>
      <c r="F129" s="9"/>
      <c r="G129" s="11"/>
      <c r="H129" s="11"/>
      <c r="I129" s="9"/>
      <c r="J129" s="12"/>
      <c r="K129" s="11"/>
      <c r="L129" s="9"/>
      <c r="N129" s="0" t="str">
        <f aca="false">IF(AND($J129&gt;0,$K129="",$A129&lt;&gt;""),SUMPRODUCT(($J$2:$J$600&gt;0)*($K$2:$K$600="")*($A$2:$A$600&lt;&gt;"")*((IF($G$2:$G$600="",99999999,$G$2:$G$600))&lt;IF($G129="",99999999,$G129)))+SUMPRODUCT(($J$2:$J129&gt;0)*($K$2:$K129="")*($A$2:$A129&lt;&gt;"")*((IF($G$2:$G129="",99999999,$G$2:$G129))=IF($G129="",99999999,$G129))),"")</f>
        <v/>
      </c>
      <c r="O129" s="0" t="str">
        <f aca="false">IF(AND($F129="Not Started",$A129&lt;&gt;""),SUMPRODUCT(($F$2:$F$600="Not Started")*($A$2:$A$600&lt;&gt;"")*((IF($G$2:$G$600="",99999999,$G$2:$G$600))&lt;IF($G129="",99999999,$G129)))+SUMPRODUCT(($F$2:$F129="Not Started")*($A$2:$A129&lt;&gt;"")*((IF($G$2:$G129="",99999999,$G$2:$G129))=IF($G129="",99999999,$G129))),"")</f>
        <v/>
      </c>
      <c r="P129" s="0" t="str">
        <f aca="false">IF(AND(OR($F129="In Progress",$F129="Pending Client Data",$F129="Under Review"),$A129&lt;&gt;""),SUMPRODUCT((($F$2:$F$600="In Progress")+($F$2:$F$600="Pending Client Data")+($F$2:$F$600="Under Review"))*($A$2:$A$600&lt;&gt;"")*((IF($G$2:$G$600="",99999999,$G$2:$G$600))&lt;IF($G129="",99999999,$G129)))+SUMPRODUCT((($F$2:$F129="In Progress")+($F$2:$F129="Pending Client Data")+($F$2:$F129="Under Review"))*($A$2:$A129&lt;&gt;"")*((IF($G$2:$G129="",99999999,$G$2:$G129))=IF($G129="",99999999,$G129))),"")</f>
        <v/>
      </c>
    </row>
    <row r="130" customFormat="false" ht="15" hidden="false" customHeight="false" outlineLevel="0" collapsed="false">
      <c r="A130" s="9"/>
      <c r="B130" s="9"/>
      <c r="C130" s="10" t="str">
        <f aca="false">IF($B130="","",IFERROR(INDEX('Client Master'!$C:$C,MATCH($B130,'Client Master'!$B:$B,0)),"Code not found"))</f>
        <v/>
      </c>
      <c r="D130" s="9"/>
      <c r="E130" s="9"/>
      <c r="F130" s="9"/>
      <c r="G130" s="11"/>
      <c r="H130" s="11"/>
      <c r="I130" s="9"/>
      <c r="J130" s="12"/>
      <c r="K130" s="11"/>
      <c r="L130" s="9"/>
      <c r="N130" s="0" t="str">
        <f aca="false">IF(AND($J130&gt;0,$K130="",$A130&lt;&gt;""),SUMPRODUCT(($J$2:$J$600&gt;0)*($K$2:$K$600="")*($A$2:$A$600&lt;&gt;"")*((IF($G$2:$G$600="",99999999,$G$2:$G$600))&lt;IF($G130="",99999999,$G130)))+SUMPRODUCT(($J$2:$J130&gt;0)*($K$2:$K130="")*($A$2:$A130&lt;&gt;"")*((IF($G$2:$G130="",99999999,$G$2:$G130))=IF($G130="",99999999,$G130))),"")</f>
        <v/>
      </c>
      <c r="O130" s="0" t="str">
        <f aca="false">IF(AND($F130="Not Started",$A130&lt;&gt;""),SUMPRODUCT(($F$2:$F$600="Not Started")*($A$2:$A$600&lt;&gt;"")*((IF($G$2:$G$600="",99999999,$G$2:$G$600))&lt;IF($G130="",99999999,$G130)))+SUMPRODUCT(($F$2:$F130="Not Started")*($A$2:$A130&lt;&gt;"")*((IF($G$2:$G130="",99999999,$G$2:$G130))=IF($G130="",99999999,$G130))),"")</f>
        <v/>
      </c>
      <c r="P130" s="0" t="str">
        <f aca="false">IF(AND(OR($F130="In Progress",$F130="Pending Client Data",$F130="Under Review"),$A130&lt;&gt;""),SUMPRODUCT((($F$2:$F$600="In Progress")+($F$2:$F$600="Pending Client Data")+($F$2:$F$600="Under Review"))*($A$2:$A$600&lt;&gt;"")*((IF($G$2:$G$600="",99999999,$G$2:$G$600))&lt;IF($G130="",99999999,$G130)))+SUMPRODUCT((($F$2:$F130="In Progress")+($F$2:$F130="Pending Client Data")+($F$2:$F130="Under Review"))*($A$2:$A130&lt;&gt;"")*((IF($G$2:$G130="",99999999,$G$2:$G130))=IF($G130="",99999999,$G130))),"")</f>
        <v/>
      </c>
    </row>
    <row r="131" customFormat="false" ht="15" hidden="false" customHeight="false" outlineLevel="0" collapsed="false">
      <c r="A131" s="9"/>
      <c r="B131" s="9"/>
      <c r="C131" s="10" t="str">
        <f aca="false">IF($B131="","",IFERROR(INDEX('Client Master'!$C:$C,MATCH($B131,'Client Master'!$B:$B,0)),"Code not found"))</f>
        <v/>
      </c>
      <c r="D131" s="9"/>
      <c r="E131" s="9"/>
      <c r="F131" s="9"/>
      <c r="G131" s="11"/>
      <c r="H131" s="11"/>
      <c r="I131" s="9"/>
      <c r="J131" s="12"/>
      <c r="K131" s="11"/>
      <c r="L131" s="9"/>
      <c r="N131" s="0" t="str">
        <f aca="false">IF(AND($J131&gt;0,$K131="",$A131&lt;&gt;""),SUMPRODUCT(($J$2:$J$600&gt;0)*($K$2:$K$600="")*($A$2:$A$600&lt;&gt;"")*((IF($G$2:$G$600="",99999999,$G$2:$G$600))&lt;IF($G131="",99999999,$G131)))+SUMPRODUCT(($J$2:$J131&gt;0)*($K$2:$K131="")*($A$2:$A131&lt;&gt;"")*((IF($G$2:$G131="",99999999,$G$2:$G131))=IF($G131="",99999999,$G131))),"")</f>
        <v/>
      </c>
      <c r="O131" s="0" t="str">
        <f aca="false">IF(AND($F131="Not Started",$A131&lt;&gt;""),SUMPRODUCT(($F$2:$F$600="Not Started")*($A$2:$A$600&lt;&gt;"")*((IF($G$2:$G$600="",99999999,$G$2:$G$600))&lt;IF($G131="",99999999,$G131)))+SUMPRODUCT(($F$2:$F131="Not Started")*($A$2:$A131&lt;&gt;"")*((IF($G$2:$G131="",99999999,$G$2:$G131))=IF($G131="",99999999,$G131))),"")</f>
        <v/>
      </c>
      <c r="P131" s="0" t="str">
        <f aca="false">IF(AND(OR($F131="In Progress",$F131="Pending Client Data",$F131="Under Review"),$A131&lt;&gt;""),SUMPRODUCT((($F$2:$F$600="In Progress")+($F$2:$F$600="Pending Client Data")+($F$2:$F$600="Under Review"))*($A$2:$A$600&lt;&gt;"")*((IF($G$2:$G$600="",99999999,$G$2:$G$600))&lt;IF($G131="",99999999,$G131)))+SUMPRODUCT((($F$2:$F131="In Progress")+($F$2:$F131="Pending Client Data")+($F$2:$F131="Under Review"))*($A$2:$A131&lt;&gt;"")*((IF($G$2:$G131="",99999999,$G$2:$G131))=IF($G131="",99999999,$G131))),"")</f>
        <v/>
      </c>
    </row>
    <row r="132" customFormat="false" ht="15" hidden="false" customHeight="false" outlineLevel="0" collapsed="false">
      <c r="A132" s="9"/>
      <c r="B132" s="9"/>
      <c r="C132" s="10" t="str">
        <f aca="false">IF($B132="","",IFERROR(INDEX('Client Master'!$C:$C,MATCH($B132,'Client Master'!$B:$B,0)),"Code not found"))</f>
        <v/>
      </c>
      <c r="D132" s="9"/>
      <c r="E132" s="9"/>
      <c r="F132" s="9"/>
      <c r="G132" s="11"/>
      <c r="H132" s="11"/>
      <c r="I132" s="9"/>
      <c r="J132" s="12"/>
      <c r="K132" s="11"/>
      <c r="L132" s="9"/>
      <c r="N132" s="0" t="str">
        <f aca="false">IF(AND($J132&gt;0,$K132="",$A132&lt;&gt;""),SUMPRODUCT(($J$2:$J$600&gt;0)*($K$2:$K$600="")*($A$2:$A$600&lt;&gt;"")*((IF($G$2:$G$600="",99999999,$G$2:$G$600))&lt;IF($G132="",99999999,$G132)))+SUMPRODUCT(($J$2:$J132&gt;0)*($K$2:$K132="")*($A$2:$A132&lt;&gt;"")*((IF($G$2:$G132="",99999999,$G$2:$G132))=IF($G132="",99999999,$G132))),"")</f>
        <v/>
      </c>
      <c r="O132" s="0" t="str">
        <f aca="false">IF(AND($F132="Not Started",$A132&lt;&gt;""),SUMPRODUCT(($F$2:$F$600="Not Started")*($A$2:$A$600&lt;&gt;"")*((IF($G$2:$G$600="",99999999,$G$2:$G$600))&lt;IF($G132="",99999999,$G132)))+SUMPRODUCT(($F$2:$F132="Not Started")*($A$2:$A132&lt;&gt;"")*((IF($G$2:$G132="",99999999,$G$2:$G132))=IF($G132="",99999999,$G132))),"")</f>
        <v/>
      </c>
      <c r="P132" s="0" t="str">
        <f aca="false">IF(AND(OR($F132="In Progress",$F132="Pending Client Data",$F132="Under Review"),$A132&lt;&gt;""),SUMPRODUCT((($F$2:$F$600="In Progress")+($F$2:$F$600="Pending Client Data")+($F$2:$F$600="Under Review"))*($A$2:$A$600&lt;&gt;"")*((IF($G$2:$G$600="",99999999,$G$2:$G$600))&lt;IF($G132="",99999999,$G132)))+SUMPRODUCT((($F$2:$F132="In Progress")+($F$2:$F132="Pending Client Data")+($F$2:$F132="Under Review"))*($A$2:$A132&lt;&gt;"")*((IF($G$2:$G132="",99999999,$G$2:$G132))=IF($G132="",99999999,$G132))),"")</f>
        <v/>
      </c>
    </row>
    <row r="133" customFormat="false" ht="15" hidden="false" customHeight="false" outlineLevel="0" collapsed="false">
      <c r="A133" s="9"/>
      <c r="B133" s="9"/>
      <c r="C133" s="10" t="str">
        <f aca="false">IF($B133="","",IFERROR(INDEX('Client Master'!$C:$C,MATCH($B133,'Client Master'!$B:$B,0)),"Code not found"))</f>
        <v/>
      </c>
      <c r="D133" s="9"/>
      <c r="E133" s="9"/>
      <c r="F133" s="9"/>
      <c r="G133" s="11"/>
      <c r="H133" s="11"/>
      <c r="I133" s="9"/>
      <c r="J133" s="12"/>
      <c r="K133" s="11"/>
      <c r="L133" s="9"/>
      <c r="N133" s="0" t="str">
        <f aca="false">IF(AND($J133&gt;0,$K133="",$A133&lt;&gt;""),SUMPRODUCT(($J$2:$J$600&gt;0)*($K$2:$K$600="")*($A$2:$A$600&lt;&gt;"")*((IF($G$2:$G$600="",99999999,$G$2:$G$600))&lt;IF($G133="",99999999,$G133)))+SUMPRODUCT(($J$2:$J133&gt;0)*($K$2:$K133="")*($A$2:$A133&lt;&gt;"")*((IF($G$2:$G133="",99999999,$G$2:$G133))=IF($G133="",99999999,$G133))),"")</f>
        <v/>
      </c>
      <c r="O133" s="0" t="str">
        <f aca="false">IF(AND($F133="Not Started",$A133&lt;&gt;""),SUMPRODUCT(($F$2:$F$600="Not Started")*($A$2:$A$600&lt;&gt;"")*((IF($G$2:$G$600="",99999999,$G$2:$G$600))&lt;IF($G133="",99999999,$G133)))+SUMPRODUCT(($F$2:$F133="Not Started")*($A$2:$A133&lt;&gt;"")*((IF($G$2:$G133="",99999999,$G$2:$G133))=IF($G133="",99999999,$G133))),"")</f>
        <v/>
      </c>
      <c r="P133" s="0" t="str">
        <f aca="false">IF(AND(OR($F133="In Progress",$F133="Pending Client Data",$F133="Under Review"),$A133&lt;&gt;""),SUMPRODUCT((($F$2:$F$600="In Progress")+($F$2:$F$600="Pending Client Data")+($F$2:$F$600="Under Review"))*($A$2:$A$600&lt;&gt;"")*((IF($G$2:$G$600="",99999999,$G$2:$G$600))&lt;IF($G133="",99999999,$G133)))+SUMPRODUCT((($F$2:$F133="In Progress")+($F$2:$F133="Pending Client Data")+($F$2:$F133="Under Review"))*($A$2:$A133&lt;&gt;"")*((IF($G$2:$G133="",99999999,$G$2:$G133))=IF($G133="",99999999,$G133))),"")</f>
        <v/>
      </c>
    </row>
    <row r="134" customFormat="false" ht="15" hidden="false" customHeight="false" outlineLevel="0" collapsed="false">
      <c r="A134" s="9"/>
      <c r="B134" s="9"/>
      <c r="C134" s="10" t="str">
        <f aca="false">IF($B134="","",IFERROR(INDEX('Client Master'!$C:$C,MATCH($B134,'Client Master'!$B:$B,0)),"Code not found"))</f>
        <v/>
      </c>
      <c r="D134" s="9"/>
      <c r="E134" s="9"/>
      <c r="F134" s="9"/>
      <c r="G134" s="11"/>
      <c r="H134" s="11"/>
      <c r="I134" s="9"/>
      <c r="J134" s="12"/>
      <c r="K134" s="11"/>
      <c r="L134" s="9"/>
      <c r="N134" s="0" t="str">
        <f aca="false">IF(AND($J134&gt;0,$K134="",$A134&lt;&gt;""),SUMPRODUCT(($J$2:$J$600&gt;0)*($K$2:$K$600="")*($A$2:$A$600&lt;&gt;"")*((IF($G$2:$G$600="",99999999,$G$2:$G$600))&lt;IF($G134="",99999999,$G134)))+SUMPRODUCT(($J$2:$J134&gt;0)*($K$2:$K134="")*($A$2:$A134&lt;&gt;"")*((IF($G$2:$G134="",99999999,$G$2:$G134))=IF($G134="",99999999,$G134))),"")</f>
        <v/>
      </c>
      <c r="O134" s="0" t="str">
        <f aca="false">IF(AND($F134="Not Started",$A134&lt;&gt;""),SUMPRODUCT(($F$2:$F$600="Not Started")*($A$2:$A$600&lt;&gt;"")*((IF($G$2:$G$600="",99999999,$G$2:$G$600))&lt;IF($G134="",99999999,$G134)))+SUMPRODUCT(($F$2:$F134="Not Started")*($A$2:$A134&lt;&gt;"")*((IF($G$2:$G134="",99999999,$G$2:$G134))=IF($G134="",99999999,$G134))),"")</f>
        <v/>
      </c>
      <c r="P134" s="0" t="str">
        <f aca="false">IF(AND(OR($F134="In Progress",$F134="Pending Client Data",$F134="Under Review"),$A134&lt;&gt;""),SUMPRODUCT((($F$2:$F$600="In Progress")+($F$2:$F$600="Pending Client Data")+($F$2:$F$600="Under Review"))*($A$2:$A$600&lt;&gt;"")*((IF($G$2:$G$600="",99999999,$G$2:$G$600))&lt;IF($G134="",99999999,$G134)))+SUMPRODUCT((($F$2:$F134="In Progress")+($F$2:$F134="Pending Client Data")+($F$2:$F134="Under Review"))*($A$2:$A134&lt;&gt;"")*((IF($G$2:$G134="",99999999,$G$2:$G134))=IF($G134="",99999999,$G134))),"")</f>
        <v/>
      </c>
    </row>
    <row r="135" customFormat="false" ht="15" hidden="false" customHeight="false" outlineLevel="0" collapsed="false">
      <c r="A135" s="9"/>
      <c r="B135" s="9"/>
      <c r="C135" s="10" t="str">
        <f aca="false">IF($B135="","",IFERROR(INDEX('Client Master'!$C:$C,MATCH($B135,'Client Master'!$B:$B,0)),"Code not found"))</f>
        <v/>
      </c>
      <c r="D135" s="9"/>
      <c r="E135" s="9"/>
      <c r="F135" s="9"/>
      <c r="G135" s="11"/>
      <c r="H135" s="11"/>
      <c r="I135" s="9"/>
      <c r="J135" s="12"/>
      <c r="K135" s="11"/>
      <c r="L135" s="9"/>
      <c r="N135" s="0" t="str">
        <f aca="false">IF(AND($J135&gt;0,$K135="",$A135&lt;&gt;""),SUMPRODUCT(($J$2:$J$600&gt;0)*($K$2:$K$600="")*($A$2:$A$600&lt;&gt;"")*((IF($G$2:$G$600="",99999999,$G$2:$G$600))&lt;IF($G135="",99999999,$G135)))+SUMPRODUCT(($J$2:$J135&gt;0)*($K$2:$K135="")*($A$2:$A135&lt;&gt;"")*((IF($G$2:$G135="",99999999,$G$2:$G135))=IF($G135="",99999999,$G135))),"")</f>
        <v/>
      </c>
      <c r="O135" s="0" t="str">
        <f aca="false">IF(AND($F135="Not Started",$A135&lt;&gt;""),SUMPRODUCT(($F$2:$F$600="Not Started")*($A$2:$A$600&lt;&gt;"")*((IF($G$2:$G$600="",99999999,$G$2:$G$600))&lt;IF($G135="",99999999,$G135)))+SUMPRODUCT(($F$2:$F135="Not Started")*($A$2:$A135&lt;&gt;"")*((IF($G$2:$G135="",99999999,$G$2:$G135))=IF($G135="",99999999,$G135))),"")</f>
        <v/>
      </c>
      <c r="P135" s="0" t="str">
        <f aca="false">IF(AND(OR($F135="In Progress",$F135="Pending Client Data",$F135="Under Review"),$A135&lt;&gt;""),SUMPRODUCT((($F$2:$F$600="In Progress")+($F$2:$F$600="Pending Client Data")+($F$2:$F$600="Under Review"))*($A$2:$A$600&lt;&gt;"")*((IF($G$2:$G$600="",99999999,$G$2:$G$600))&lt;IF($G135="",99999999,$G135)))+SUMPRODUCT((($F$2:$F135="In Progress")+($F$2:$F135="Pending Client Data")+($F$2:$F135="Under Review"))*($A$2:$A135&lt;&gt;"")*((IF($G$2:$G135="",99999999,$G$2:$G135))=IF($G135="",99999999,$G135))),"")</f>
        <v/>
      </c>
    </row>
    <row r="136" customFormat="false" ht="15" hidden="false" customHeight="false" outlineLevel="0" collapsed="false">
      <c r="A136" s="9"/>
      <c r="B136" s="9"/>
      <c r="C136" s="10" t="str">
        <f aca="false">IF($B136="","",IFERROR(INDEX('Client Master'!$C:$C,MATCH($B136,'Client Master'!$B:$B,0)),"Code not found"))</f>
        <v/>
      </c>
      <c r="D136" s="9"/>
      <c r="E136" s="9"/>
      <c r="F136" s="9"/>
      <c r="G136" s="11"/>
      <c r="H136" s="11"/>
      <c r="I136" s="9"/>
      <c r="J136" s="12"/>
      <c r="K136" s="11"/>
      <c r="L136" s="9"/>
      <c r="N136" s="0" t="str">
        <f aca="false">IF(AND($J136&gt;0,$K136="",$A136&lt;&gt;""),SUMPRODUCT(($J$2:$J$600&gt;0)*($K$2:$K$600="")*($A$2:$A$600&lt;&gt;"")*((IF($G$2:$G$600="",99999999,$G$2:$G$600))&lt;IF($G136="",99999999,$G136)))+SUMPRODUCT(($J$2:$J136&gt;0)*($K$2:$K136="")*($A$2:$A136&lt;&gt;"")*((IF($G$2:$G136="",99999999,$G$2:$G136))=IF($G136="",99999999,$G136))),"")</f>
        <v/>
      </c>
      <c r="O136" s="0" t="str">
        <f aca="false">IF(AND($F136="Not Started",$A136&lt;&gt;""),SUMPRODUCT(($F$2:$F$600="Not Started")*($A$2:$A$600&lt;&gt;"")*((IF($G$2:$G$600="",99999999,$G$2:$G$600))&lt;IF($G136="",99999999,$G136)))+SUMPRODUCT(($F$2:$F136="Not Started")*($A$2:$A136&lt;&gt;"")*((IF($G$2:$G136="",99999999,$G$2:$G136))=IF($G136="",99999999,$G136))),"")</f>
        <v/>
      </c>
      <c r="P136" s="0" t="str">
        <f aca="false">IF(AND(OR($F136="In Progress",$F136="Pending Client Data",$F136="Under Review"),$A136&lt;&gt;""),SUMPRODUCT((($F$2:$F$600="In Progress")+($F$2:$F$600="Pending Client Data")+($F$2:$F$600="Under Review"))*($A$2:$A$600&lt;&gt;"")*((IF($G$2:$G$600="",99999999,$G$2:$G$600))&lt;IF($G136="",99999999,$G136)))+SUMPRODUCT((($F$2:$F136="In Progress")+($F$2:$F136="Pending Client Data")+($F$2:$F136="Under Review"))*($A$2:$A136&lt;&gt;"")*((IF($G$2:$G136="",99999999,$G$2:$G136))=IF($G136="",99999999,$G136))),"")</f>
        <v/>
      </c>
    </row>
    <row r="137" customFormat="false" ht="15" hidden="false" customHeight="false" outlineLevel="0" collapsed="false">
      <c r="A137" s="9"/>
      <c r="B137" s="9"/>
      <c r="C137" s="10" t="str">
        <f aca="false">IF($B137="","",IFERROR(INDEX('Client Master'!$C:$C,MATCH($B137,'Client Master'!$B:$B,0)),"Code not found"))</f>
        <v/>
      </c>
      <c r="D137" s="9"/>
      <c r="E137" s="9"/>
      <c r="F137" s="9"/>
      <c r="G137" s="11"/>
      <c r="H137" s="11"/>
      <c r="I137" s="9"/>
      <c r="J137" s="12"/>
      <c r="K137" s="11"/>
      <c r="L137" s="9"/>
      <c r="N137" s="0" t="str">
        <f aca="false">IF(AND($J137&gt;0,$K137="",$A137&lt;&gt;""),SUMPRODUCT(($J$2:$J$600&gt;0)*($K$2:$K$600="")*($A$2:$A$600&lt;&gt;"")*((IF($G$2:$G$600="",99999999,$G$2:$G$600))&lt;IF($G137="",99999999,$G137)))+SUMPRODUCT(($J$2:$J137&gt;0)*($K$2:$K137="")*($A$2:$A137&lt;&gt;"")*((IF($G$2:$G137="",99999999,$G$2:$G137))=IF($G137="",99999999,$G137))),"")</f>
        <v/>
      </c>
      <c r="O137" s="0" t="str">
        <f aca="false">IF(AND($F137="Not Started",$A137&lt;&gt;""),SUMPRODUCT(($F$2:$F$600="Not Started")*($A$2:$A$600&lt;&gt;"")*((IF($G$2:$G$600="",99999999,$G$2:$G$600))&lt;IF($G137="",99999999,$G137)))+SUMPRODUCT(($F$2:$F137="Not Started")*($A$2:$A137&lt;&gt;"")*((IF($G$2:$G137="",99999999,$G$2:$G137))=IF($G137="",99999999,$G137))),"")</f>
        <v/>
      </c>
      <c r="P137" s="0" t="str">
        <f aca="false">IF(AND(OR($F137="In Progress",$F137="Pending Client Data",$F137="Under Review"),$A137&lt;&gt;""),SUMPRODUCT((($F$2:$F$600="In Progress")+($F$2:$F$600="Pending Client Data")+($F$2:$F$600="Under Review"))*($A$2:$A$600&lt;&gt;"")*((IF($G$2:$G$600="",99999999,$G$2:$G$600))&lt;IF($G137="",99999999,$G137)))+SUMPRODUCT((($F$2:$F137="In Progress")+($F$2:$F137="Pending Client Data")+($F$2:$F137="Under Review"))*($A$2:$A137&lt;&gt;"")*((IF($G$2:$G137="",99999999,$G$2:$G137))=IF($G137="",99999999,$G137))),"")</f>
        <v/>
      </c>
    </row>
    <row r="138" customFormat="false" ht="15" hidden="false" customHeight="false" outlineLevel="0" collapsed="false">
      <c r="A138" s="9"/>
      <c r="B138" s="9"/>
      <c r="C138" s="10" t="str">
        <f aca="false">IF($B138="","",IFERROR(INDEX('Client Master'!$C:$C,MATCH($B138,'Client Master'!$B:$B,0)),"Code not found"))</f>
        <v/>
      </c>
      <c r="D138" s="9"/>
      <c r="E138" s="9"/>
      <c r="F138" s="9"/>
      <c r="G138" s="11"/>
      <c r="H138" s="11"/>
      <c r="I138" s="9"/>
      <c r="J138" s="12"/>
      <c r="K138" s="11"/>
      <c r="L138" s="9"/>
      <c r="N138" s="0" t="str">
        <f aca="false">IF(AND($J138&gt;0,$K138="",$A138&lt;&gt;""),SUMPRODUCT(($J$2:$J$600&gt;0)*($K$2:$K$600="")*($A$2:$A$600&lt;&gt;"")*((IF($G$2:$G$600="",99999999,$G$2:$G$600))&lt;IF($G138="",99999999,$G138)))+SUMPRODUCT(($J$2:$J138&gt;0)*($K$2:$K138="")*($A$2:$A138&lt;&gt;"")*((IF($G$2:$G138="",99999999,$G$2:$G138))=IF($G138="",99999999,$G138))),"")</f>
        <v/>
      </c>
      <c r="O138" s="0" t="str">
        <f aca="false">IF(AND($F138="Not Started",$A138&lt;&gt;""),SUMPRODUCT(($F$2:$F$600="Not Started")*($A$2:$A$600&lt;&gt;"")*((IF($G$2:$G$600="",99999999,$G$2:$G$600))&lt;IF($G138="",99999999,$G138)))+SUMPRODUCT(($F$2:$F138="Not Started")*($A$2:$A138&lt;&gt;"")*((IF($G$2:$G138="",99999999,$G$2:$G138))=IF($G138="",99999999,$G138))),"")</f>
        <v/>
      </c>
      <c r="P138" s="0" t="str">
        <f aca="false">IF(AND(OR($F138="In Progress",$F138="Pending Client Data",$F138="Under Review"),$A138&lt;&gt;""),SUMPRODUCT((($F$2:$F$600="In Progress")+($F$2:$F$600="Pending Client Data")+($F$2:$F$600="Under Review"))*($A$2:$A$600&lt;&gt;"")*((IF($G$2:$G$600="",99999999,$G$2:$G$600))&lt;IF($G138="",99999999,$G138)))+SUMPRODUCT((($F$2:$F138="In Progress")+($F$2:$F138="Pending Client Data")+($F$2:$F138="Under Review"))*($A$2:$A138&lt;&gt;"")*((IF($G$2:$G138="",99999999,$G$2:$G138))=IF($G138="",99999999,$G138))),"")</f>
        <v/>
      </c>
    </row>
    <row r="139" customFormat="false" ht="15" hidden="false" customHeight="false" outlineLevel="0" collapsed="false">
      <c r="A139" s="9"/>
      <c r="B139" s="9"/>
      <c r="C139" s="10" t="str">
        <f aca="false">IF($B139="","",IFERROR(INDEX('Client Master'!$C:$C,MATCH($B139,'Client Master'!$B:$B,0)),"Code not found"))</f>
        <v/>
      </c>
      <c r="D139" s="9"/>
      <c r="E139" s="9"/>
      <c r="F139" s="9"/>
      <c r="G139" s="11"/>
      <c r="H139" s="11"/>
      <c r="I139" s="9"/>
      <c r="J139" s="12"/>
      <c r="K139" s="11"/>
      <c r="L139" s="9"/>
      <c r="N139" s="0" t="str">
        <f aca="false">IF(AND($J139&gt;0,$K139="",$A139&lt;&gt;""),SUMPRODUCT(($J$2:$J$600&gt;0)*($K$2:$K$600="")*($A$2:$A$600&lt;&gt;"")*((IF($G$2:$G$600="",99999999,$G$2:$G$600))&lt;IF($G139="",99999999,$G139)))+SUMPRODUCT(($J$2:$J139&gt;0)*($K$2:$K139="")*($A$2:$A139&lt;&gt;"")*((IF($G$2:$G139="",99999999,$G$2:$G139))=IF($G139="",99999999,$G139))),"")</f>
        <v/>
      </c>
      <c r="O139" s="0" t="str">
        <f aca="false">IF(AND($F139="Not Started",$A139&lt;&gt;""),SUMPRODUCT(($F$2:$F$600="Not Started")*($A$2:$A$600&lt;&gt;"")*((IF($G$2:$G$600="",99999999,$G$2:$G$600))&lt;IF($G139="",99999999,$G139)))+SUMPRODUCT(($F$2:$F139="Not Started")*($A$2:$A139&lt;&gt;"")*((IF($G$2:$G139="",99999999,$G$2:$G139))=IF($G139="",99999999,$G139))),"")</f>
        <v/>
      </c>
      <c r="P139" s="0" t="str">
        <f aca="false">IF(AND(OR($F139="In Progress",$F139="Pending Client Data",$F139="Under Review"),$A139&lt;&gt;""),SUMPRODUCT((($F$2:$F$600="In Progress")+($F$2:$F$600="Pending Client Data")+($F$2:$F$600="Under Review"))*($A$2:$A$600&lt;&gt;"")*((IF($G$2:$G$600="",99999999,$G$2:$G$600))&lt;IF($G139="",99999999,$G139)))+SUMPRODUCT((($F$2:$F139="In Progress")+($F$2:$F139="Pending Client Data")+($F$2:$F139="Under Review"))*($A$2:$A139&lt;&gt;"")*((IF($G$2:$G139="",99999999,$G$2:$G139))=IF($G139="",99999999,$G139))),"")</f>
        <v/>
      </c>
    </row>
    <row r="140" customFormat="false" ht="15" hidden="false" customHeight="false" outlineLevel="0" collapsed="false">
      <c r="A140" s="9"/>
      <c r="B140" s="9"/>
      <c r="C140" s="10" t="str">
        <f aca="false">IF($B140="","",IFERROR(INDEX('Client Master'!$C:$C,MATCH($B140,'Client Master'!$B:$B,0)),"Code not found"))</f>
        <v/>
      </c>
      <c r="D140" s="9"/>
      <c r="E140" s="9"/>
      <c r="F140" s="9"/>
      <c r="G140" s="11"/>
      <c r="H140" s="11"/>
      <c r="I140" s="9"/>
      <c r="J140" s="12"/>
      <c r="K140" s="11"/>
      <c r="L140" s="9"/>
      <c r="N140" s="0" t="str">
        <f aca="false">IF(AND($J140&gt;0,$K140="",$A140&lt;&gt;""),SUMPRODUCT(($J$2:$J$600&gt;0)*($K$2:$K$600="")*($A$2:$A$600&lt;&gt;"")*((IF($G$2:$G$600="",99999999,$G$2:$G$600))&lt;IF($G140="",99999999,$G140)))+SUMPRODUCT(($J$2:$J140&gt;0)*($K$2:$K140="")*($A$2:$A140&lt;&gt;"")*((IF($G$2:$G140="",99999999,$G$2:$G140))=IF($G140="",99999999,$G140))),"")</f>
        <v/>
      </c>
      <c r="O140" s="0" t="str">
        <f aca="false">IF(AND($F140="Not Started",$A140&lt;&gt;""),SUMPRODUCT(($F$2:$F$600="Not Started")*($A$2:$A$600&lt;&gt;"")*((IF($G$2:$G$600="",99999999,$G$2:$G$600))&lt;IF($G140="",99999999,$G140)))+SUMPRODUCT(($F$2:$F140="Not Started")*($A$2:$A140&lt;&gt;"")*((IF($G$2:$G140="",99999999,$G$2:$G140))=IF($G140="",99999999,$G140))),"")</f>
        <v/>
      </c>
      <c r="P140" s="0" t="str">
        <f aca="false">IF(AND(OR($F140="In Progress",$F140="Pending Client Data",$F140="Under Review"),$A140&lt;&gt;""),SUMPRODUCT((($F$2:$F$600="In Progress")+($F$2:$F$600="Pending Client Data")+($F$2:$F$600="Under Review"))*($A$2:$A$600&lt;&gt;"")*((IF($G$2:$G$600="",99999999,$G$2:$G$600))&lt;IF($G140="",99999999,$G140)))+SUMPRODUCT((($F$2:$F140="In Progress")+($F$2:$F140="Pending Client Data")+($F$2:$F140="Under Review"))*($A$2:$A140&lt;&gt;"")*((IF($G$2:$G140="",99999999,$G$2:$G140))=IF($G140="",99999999,$G140))),"")</f>
        <v/>
      </c>
    </row>
    <row r="141" customFormat="false" ht="15" hidden="false" customHeight="false" outlineLevel="0" collapsed="false">
      <c r="A141" s="9"/>
      <c r="B141" s="9"/>
      <c r="C141" s="10" t="str">
        <f aca="false">IF($B141="","",IFERROR(INDEX('Client Master'!$C:$C,MATCH($B141,'Client Master'!$B:$B,0)),"Code not found"))</f>
        <v/>
      </c>
      <c r="D141" s="9"/>
      <c r="E141" s="9"/>
      <c r="F141" s="9"/>
      <c r="G141" s="11"/>
      <c r="H141" s="11"/>
      <c r="I141" s="9"/>
      <c r="J141" s="12"/>
      <c r="K141" s="11"/>
      <c r="L141" s="9"/>
      <c r="N141" s="0" t="str">
        <f aca="false">IF(AND($J141&gt;0,$K141="",$A141&lt;&gt;""),SUMPRODUCT(($J$2:$J$600&gt;0)*($K$2:$K$600="")*($A$2:$A$600&lt;&gt;"")*((IF($G$2:$G$600="",99999999,$G$2:$G$600))&lt;IF($G141="",99999999,$G141)))+SUMPRODUCT(($J$2:$J141&gt;0)*($K$2:$K141="")*($A$2:$A141&lt;&gt;"")*((IF($G$2:$G141="",99999999,$G$2:$G141))=IF($G141="",99999999,$G141))),"")</f>
        <v/>
      </c>
      <c r="O141" s="0" t="str">
        <f aca="false">IF(AND($F141="Not Started",$A141&lt;&gt;""),SUMPRODUCT(($F$2:$F$600="Not Started")*($A$2:$A$600&lt;&gt;"")*((IF($G$2:$G$600="",99999999,$G$2:$G$600))&lt;IF($G141="",99999999,$G141)))+SUMPRODUCT(($F$2:$F141="Not Started")*($A$2:$A141&lt;&gt;"")*((IF($G$2:$G141="",99999999,$G$2:$G141))=IF($G141="",99999999,$G141))),"")</f>
        <v/>
      </c>
      <c r="P141" s="0" t="str">
        <f aca="false">IF(AND(OR($F141="In Progress",$F141="Pending Client Data",$F141="Under Review"),$A141&lt;&gt;""),SUMPRODUCT((($F$2:$F$600="In Progress")+($F$2:$F$600="Pending Client Data")+($F$2:$F$600="Under Review"))*($A$2:$A$600&lt;&gt;"")*((IF($G$2:$G$600="",99999999,$G$2:$G$600))&lt;IF($G141="",99999999,$G141)))+SUMPRODUCT((($F$2:$F141="In Progress")+($F$2:$F141="Pending Client Data")+($F$2:$F141="Under Review"))*($A$2:$A141&lt;&gt;"")*((IF($G$2:$G141="",99999999,$G$2:$G141))=IF($G141="",99999999,$G141))),"")</f>
        <v/>
      </c>
    </row>
    <row r="142" customFormat="false" ht="15" hidden="false" customHeight="false" outlineLevel="0" collapsed="false">
      <c r="A142" s="9"/>
      <c r="B142" s="9"/>
      <c r="C142" s="10" t="str">
        <f aca="false">IF($B142="","",IFERROR(INDEX('Client Master'!$C:$C,MATCH($B142,'Client Master'!$B:$B,0)),"Code not found"))</f>
        <v/>
      </c>
      <c r="D142" s="9"/>
      <c r="E142" s="9"/>
      <c r="F142" s="9"/>
      <c r="G142" s="11"/>
      <c r="H142" s="11"/>
      <c r="I142" s="9"/>
      <c r="J142" s="12"/>
      <c r="K142" s="11"/>
      <c r="L142" s="9"/>
      <c r="N142" s="0" t="str">
        <f aca="false">IF(AND($J142&gt;0,$K142="",$A142&lt;&gt;""),SUMPRODUCT(($J$2:$J$600&gt;0)*($K$2:$K$600="")*($A$2:$A$600&lt;&gt;"")*((IF($G$2:$G$600="",99999999,$G$2:$G$600))&lt;IF($G142="",99999999,$G142)))+SUMPRODUCT(($J$2:$J142&gt;0)*($K$2:$K142="")*($A$2:$A142&lt;&gt;"")*((IF($G$2:$G142="",99999999,$G$2:$G142))=IF($G142="",99999999,$G142))),"")</f>
        <v/>
      </c>
      <c r="O142" s="0" t="str">
        <f aca="false">IF(AND($F142="Not Started",$A142&lt;&gt;""),SUMPRODUCT(($F$2:$F$600="Not Started")*($A$2:$A$600&lt;&gt;"")*((IF($G$2:$G$600="",99999999,$G$2:$G$600))&lt;IF($G142="",99999999,$G142)))+SUMPRODUCT(($F$2:$F142="Not Started")*($A$2:$A142&lt;&gt;"")*((IF($G$2:$G142="",99999999,$G$2:$G142))=IF($G142="",99999999,$G142))),"")</f>
        <v/>
      </c>
      <c r="P142" s="0" t="str">
        <f aca="false">IF(AND(OR($F142="In Progress",$F142="Pending Client Data",$F142="Under Review"),$A142&lt;&gt;""),SUMPRODUCT((($F$2:$F$600="In Progress")+($F$2:$F$600="Pending Client Data")+($F$2:$F$600="Under Review"))*($A$2:$A$600&lt;&gt;"")*((IF($G$2:$G$600="",99999999,$G$2:$G$600))&lt;IF($G142="",99999999,$G142)))+SUMPRODUCT((($F$2:$F142="In Progress")+($F$2:$F142="Pending Client Data")+($F$2:$F142="Under Review"))*($A$2:$A142&lt;&gt;"")*((IF($G$2:$G142="",99999999,$G$2:$G142))=IF($G142="",99999999,$G142))),"")</f>
        <v/>
      </c>
    </row>
    <row r="143" customFormat="false" ht="15" hidden="false" customHeight="false" outlineLevel="0" collapsed="false">
      <c r="A143" s="9"/>
      <c r="B143" s="9"/>
      <c r="C143" s="10" t="str">
        <f aca="false">IF($B143="","",IFERROR(INDEX('Client Master'!$C:$C,MATCH($B143,'Client Master'!$B:$B,0)),"Code not found"))</f>
        <v/>
      </c>
      <c r="D143" s="9"/>
      <c r="E143" s="9"/>
      <c r="F143" s="9"/>
      <c r="G143" s="11"/>
      <c r="H143" s="11"/>
      <c r="I143" s="9"/>
      <c r="J143" s="12"/>
      <c r="K143" s="11"/>
      <c r="L143" s="9"/>
      <c r="N143" s="0" t="str">
        <f aca="false">IF(AND($J143&gt;0,$K143="",$A143&lt;&gt;""),SUMPRODUCT(($J$2:$J$600&gt;0)*($K$2:$K$600="")*($A$2:$A$600&lt;&gt;"")*((IF($G$2:$G$600="",99999999,$G$2:$G$600))&lt;IF($G143="",99999999,$G143)))+SUMPRODUCT(($J$2:$J143&gt;0)*($K$2:$K143="")*($A$2:$A143&lt;&gt;"")*((IF($G$2:$G143="",99999999,$G$2:$G143))=IF($G143="",99999999,$G143))),"")</f>
        <v/>
      </c>
      <c r="O143" s="0" t="str">
        <f aca="false">IF(AND($F143="Not Started",$A143&lt;&gt;""),SUMPRODUCT(($F$2:$F$600="Not Started")*($A$2:$A$600&lt;&gt;"")*((IF($G$2:$G$600="",99999999,$G$2:$G$600))&lt;IF($G143="",99999999,$G143)))+SUMPRODUCT(($F$2:$F143="Not Started")*($A$2:$A143&lt;&gt;"")*((IF($G$2:$G143="",99999999,$G$2:$G143))=IF($G143="",99999999,$G143))),"")</f>
        <v/>
      </c>
      <c r="P143" s="0" t="str">
        <f aca="false">IF(AND(OR($F143="In Progress",$F143="Pending Client Data",$F143="Under Review"),$A143&lt;&gt;""),SUMPRODUCT((($F$2:$F$600="In Progress")+($F$2:$F$600="Pending Client Data")+($F$2:$F$600="Under Review"))*($A$2:$A$600&lt;&gt;"")*((IF($G$2:$G$600="",99999999,$G$2:$G$600))&lt;IF($G143="",99999999,$G143)))+SUMPRODUCT((($F$2:$F143="In Progress")+($F$2:$F143="Pending Client Data")+($F$2:$F143="Under Review"))*($A$2:$A143&lt;&gt;"")*((IF($G$2:$G143="",99999999,$G$2:$G143))=IF($G143="",99999999,$G143))),"")</f>
        <v/>
      </c>
    </row>
    <row r="144" customFormat="false" ht="15" hidden="false" customHeight="false" outlineLevel="0" collapsed="false">
      <c r="A144" s="9"/>
      <c r="B144" s="9"/>
      <c r="C144" s="10" t="str">
        <f aca="false">IF($B144="","",IFERROR(INDEX('Client Master'!$C:$C,MATCH($B144,'Client Master'!$B:$B,0)),"Code not found"))</f>
        <v/>
      </c>
      <c r="D144" s="9"/>
      <c r="E144" s="9"/>
      <c r="F144" s="9"/>
      <c r="G144" s="11"/>
      <c r="H144" s="11"/>
      <c r="I144" s="9"/>
      <c r="J144" s="12"/>
      <c r="K144" s="11"/>
      <c r="L144" s="9"/>
      <c r="N144" s="0" t="str">
        <f aca="false">IF(AND($J144&gt;0,$K144="",$A144&lt;&gt;""),SUMPRODUCT(($J$2:$J$600&gt;0)*($K$2:$K$600="")*($A$2:$A$600&lt;&gt;"")*((IF($G$2:$G$600="",99999999,$G$2:$G$600))&lt;IF($G144="",99999999,$G144)))+SUMPRODUCT(($J$2:$J144&gt;0)*($K$2:$K144="")*($A$2:$A144&lt;&gt;"")*((IF($G$2:$G144="",99999999,$G$2:$G144))=IF($G144="",99999999,$G144))),"")</f>
        <v/>
      </c>
      <c r="O144" s="0" t="str">
        <f aca="false">IF(AND($F144="Not Started",$A144&lt;&gt;""),SUMPRODUCT(($F$2:$F$600="Not Started")*($A$2:$A$600&lt;&gt;"")*((IF($G$2:$G$600="",99999999,$G$2:$G$600))&lt;IF($G144="",99999999,$G144)))+SUMPRODUCT(($F$2:$F144="Not Started")*($A$2:$A144&lt;&gt;"")*((IF($G$2:$G144="",99999999,$G$2:$G144))=IF($G144="",99999999,$G144))),"")</f>
        <v/>
      </c>
      <c r="P144" s="0" t="str">
        <f aca="false">IF(AND(OR($F144="In Progress",$F144="Pending Client Data",$F144="Under Review"),$A144&lt;&gt;""),SUMPRODUCT((($F$2:$F$600="In Progress")+($F$2:$F$600="Pending Client Data")+($F$2:$F$600="Under Review"))*($A$2:$A$600&lt;&gt;"")*((IF($G$2:$G$600="",99999999,$G$2:$G$600))&lt;IF($G144="",99999999,$G144)))+SUMPRODUCT((($F$2:$F144="In Progress")+($F$2:$F144="Pending Client Data")+($F$2:$F144="Under Review"))*($A$2:$A144&lt;&gt;"")*((IF($G$2:$G144="",99999999,$G$2:$G144))=IF($G144="",99999999,$G144))),"")</f>
        <v/>
      </c>
    </row>
    <row r="145" customFormat="false" ht="15" hidden="false" customHeight="false" outlineLevel="0" collapsed="false">
      <c r="A145" s="9"/>
      <c r="B145" s="9"/>
      <c r="C145" s="10" t="str">
        <f aca="false">IF($B145="","",IFERROR(INDEX('Client Master'!$C:$C,MATCH($B145,'Client Master'!$B:$B,0)),"Code not found"))</f>
        <v/>
      </c>
      <c r="D145" s="9"/>
      <c r="E145" s="9"/>
      <c r="F145" s="9"/>
      <c r="G145" s="11"/>
      <c r="H145" s="11"/>
      <c r="I145" s="9"/>
      <c r="J145" s="12"/>
      <c r="K145" s="11"/>
      <c r="L145" s="9"/>
      <c r="N145" s="0" t="str">
        <f aca="false">IF(AND($J145&gt;0,$K145="",$A145&lt;&gt;""),SUMPRODUCT(($J$2:$J$600&gt;0)*($K$2:$K$600="")*($A$2:$A$600&lt;&gt;"")*((IF($G$2:$G$600="",99999999,$G$2:$G$600))&lt;IF($G145="",99999999,$G145)))+SUMPRODUCT(($J$2:$J145&gt;0)*($K$2:$K145="")*($A$2:$A145&lt;&gt;"")*((IF($G$2:$G145="",99999999,$G$2:$G145))=IF($G145="",99999999,$G145))),"")</f>
        <v/>
      </c>
      <c r="O145" s="0" t="str">
        <f aca="false">IF(AND($F145="Not Started",$A145&lt;&gt;""),SUMPRODUCT(($F$2:$F$600="Not Started")*($A$2:$A$600&lt;&gt;"")*((IF($G$2:$G$600="",99999999,$G$2:$G$600))&lt;IF($G145="",99999999,$G145)))+SUMPRODUCT(($F$2:$F145="Not Started")*($A$2:$A145&lt;&gt;"")*((IF($G$2:$G145="",99999999,$G$2:$G145))=IF($G145="",99999999,$G145))),"")</f>
        <v/>
      </c>
      <c r="P145" s="0" t="str">
        <f aca="false">IF(AND(OR($F145="In Progress",$F145="Pending Client Data",$F145="Under Review"),$A145&lt;&gt;""),SUMPRODUCT((($F$2:$F$600="In Progress")+($F$2:$F$600="Pending Client Data")+($F$2:$F$600="Under Review"))*($A$2:$A$600&lt;&gt;"")*((IF($G$2:$G$600="",99999999,$G$2:$G$600))&lt;IF($G145="",99999999,$G145)))+SUMPRODUCT((($F$2:$F145="In Progress")+($F$2:$F145="Pending Client Data")+($F$2:$F145="Under Review"))*($A$2:$A145&lt;&gt;"")*((IF($G$2:$G145="",99999999,$G$2:$G145))=IF($G145="",99999999,$G145))),"")</f>
        <v/>
      </c>
    </row>
    <row r="146" customFormat="false" ht="15" hidden="false" customHeight="false" outlineLevel="0" collapsed="false">
      <c r="A146" s="9"/>
      <c r="B146" s="9"/>
      <c r="C146" s="10" t="str">
        <f aca="false">IF($B146="","",IFERROR(INDEX('Client Master'!$C:$C,MATCH($B146,'Client Master'!$B:$B,0)),"Code not found"))</f>
        <v/>
      </c>
      <c r="D146" s="9"/>
      <c r="E146" s="9"/>
      <c r="F146" s="9"/>
      <c r="G146" s="11"/>
      <c r="H146" s="11"/>
      <c r="I146" s="9"/>
      <c r="J146" s="12"/>
      <c r="K146" s="11"/>
      <c r="L146" s="9"/>
      <c r="N146" s="0" t="str">
        <f aca="false">IF(AND($J146&gt;0,$K146="",$A146&lt;&gt;""),SUMPRODUCT(($J$2:$J$600&gt;0)*($K$2:$K$600="")*($A$2:$A$600&lt;&gt;"")*((IF($G$2:$G$600="",99999999,$G$2:$G$600))&lt;IF($G146="",99999999,$G146)))+SUMPRODUCT(($J$2:$J146&gt;0)*($K$2:$K146="")*($A$2:$A146&lt;&gt;"")*((IF($G$2:$G146="",99999999,$G$2:$G146))=IF($G146="",99999999,$G146))),"")</f>
        <v/>
      </c>
      <c r="O146" s="0" t="str">
        <f aca="false">IF(AND($F146="Not Started",$A146&lt;&gt;""),SUMPRODUCT(($F$2:$F$600="Not Started")*($A$2:$A$600&lt;&gt;"")*((IF($G$2:$G$600="",99999999,$G$2:$G$600))&lt;IF($G146="",99999999,$G146)))+SUMPRODUCT(($F$2:$F146="Not Started")*($A$2:$A146&lt;&gt;"")*((IF($G$2:$G146="",99999999,$G$2:$G146))=IF($G146="",99999999,$G146))),"")</f>
        <v/>
      </c>
      <c r="P146" s="0" t="str">
        <f aca="false">IF(AND(OR($F146="In Progress",$F146="Pending Client Data",$F146="Under Review"),$A146&lt;&gt;""),SUMPRODUCT((($F$2:$F$600="In Progress")+($F$2:$F$600="Pending Client Data")+($F$2:$F$600="Under Review"))*($A$2:$A$600&lt;&gt;"")*((IF($G$2:$G$600="",99999999,$G$2:$G$600))&lt;IF($G146="",99999999,$G146)))+SUMPRODUCT((($F$2:$F146="In Progress")+($F$2:$F146="Pending Client Data")+($F$2:$F146="Under Review"))*($A$2:$A146&lt;&gt;"")*((IF($G$2:$G146="",99999999,$G$2:$G146))=IF($G146="",99999999,$G146))),"")</f>
        <v/>
      </c>
    </row>
    <row r="147" customFormat="false" ht="15" hidden="false" customHeight="false" outlineLevel="0" collapsed="false">
      <c r="A147" s="9"/>
      <c r="B147" s="9"/>
      <c r="C147" s="10" t="str">
        <f aca="false">IF($B147="","",IFERROR(INDEX('Client Master'!$C:$C,MATCH($B147,'Client Master'!$B:$B,0)),"Code not found"))</f>
        <v/>
      </c>
      <c r="D147" s="9"/>
      <c r="E147" s="9"/>
      <c r="F147" s="9"/>
      <c r="G147" s="11"/>
      <c r="H147" s="11"/>
      <c r="I147" s="9"/>
      <c r="J147" s="12"/>
      <c r="K147" s="11"/>
      <c r="L147" s="9"/>
      <c r="N147" s="0" t="str">
        <f aca="false">IF(AND($J147&gt;0,$K147="",$A147&lt;&gt;""),SUMPRODUCT(($J$2:$J$600&gt;0)*($K$2:$K$600="")*($A$2:$A$600&lt;&gt;"")*((IF($G$2:$G$600="",99999999,$G$2:$G$600))&lt;IF($G147="",99999999,$G147)))+SUMPRODUCT(($J$2:$J147&gt;0)*($K$2:$K147="")*($A$2:$A147&lt;&gt;"")*((IF($G$2:$G147="",99999999,$G$2:$G147))=IF($G147="",99999999,$G147))),"")</f>
        <v/>
      </c>
      <c r="O147" s="0" t="str">
        <f aca="false">IF(AND($F147="Not Started",$A147&lt;&gt;""),SUMPRODUCT(($F$2:$F$600="Not Started")*($A$2:$A$600&lt;&gt;"")*((IF($G$2:$G$600="",99999999,$G$2:$G$600))&lt;IF($G147="",99999999,$G147)))+SUMPRODUCT(($F$2:$F147="Not Started")*($A$2:$A147&lt;&gt;"")*((IF($G$2:$G147="",99999999,$G$2:$G147))=IF($G147="",99999999,$G147))),"")</f>
        <v/>
      </c>
      <c r="P147" s="0" t="str">
        <f aca="false">IF(AND(OR($F147="In Progress",$F147="Pending Client Data",$F147="Under Review"),$A147&lt;&gt;""),SUMPRODUCT((($F$2:$F$600="In Progress")+($F$2:$F$600="Pending Client Data")+($F$2:$F$600="Under Review"))*($A$2:$A$600&lt;&gt;"")*((IF($G$2:$G$600="",99999999,$G$2:$G$600))&lt;IF($G147="",99999999,$G147)))+SUMPRODUCT((($F$2:$F147="In Progress")+($F$2:$F147="Pending Client Data")+($F$2:$F147="Under Review"))*($A$2:$A147&lt;&gt;"")*((IF($G$2:$G147="",99999999,$G$2:$G147))=IF($G147="",99999999,$G147))),"")</f>
        <v/>
      </c>
    </row>
    <row r="148" customFormat="false" ht="15" hidden="false" customHeight="false" outlineLevel="0" collapsed="false">
      <c r="A148" s="9"/>
      <c r="B148" s="9"/>
      <c r="C148" s="10" t="str">
        <f aca="false">IF($B148="","",IFERROR(INDEX('Client Master'!$C:$C,MATCH($B148,'Client Master'!$B:$B,0)),"Code not found"))</f>
        <v/>
      </c>
      <c r="D148" s="9"/>
      <c r="E148" s="9"/>
      <c r="F148" s="9"/>
      <c r="G148" s="11"/>
      <c r="H148" s="11"/>
      <c r="I148" s="9"/>
      <c r="J148" s="12"/>
      <c r="K148" s="11"/>
      <c r="L148" s="9"/>
      <c r="N148" s="0" t="str">
        <f aca="false">IF(AND($J148&gt;0,$K148="",$A148&lt;&gt;""),SUMPRODUCT(($J$2:$J$600&gt;0)*($K$2:$K$600="")*($A$2:$A$600&lt;&gt;"")*((IF($G$2:$G$600="",99999999,$G$2:$G$600))&lt;IF($G148="",99999999,$G148)))+SUMPRODUCT(($J$2:$J148&gt;0)*($K$2:$K148="")*($A$2:$A148&lt;&gt;"")*((IF($G$2:$G148="",99999999,$G$2:$G148))=IF($G148="",99999999,$G148))),"")</f>
        <v/>
      </c>
      <c r="O148" s="0" t="str">
        <f aca="false">IF(AND($F148="Not Started",$A148&lt;&gt;""),SUMPRODUCT(($F$2:$F$600="Not Started")*($A$2:$A$600&lt;&gt;"")*((IF($G$2:$G$600="",99999999,$G$2:$G$600))&lt;IF($G148="",99999999,$G148)))+SUMPRODUCT(($F$2:$F148="Not Started")*($A$2:$A148&lt;&gt;"")*((IF($G$2:$G148="",99999999,$G$2:$G148))=IF($G148="",99999999,$G148))),"")</f>
        <v/>
      </c>
      <c r="P148" s="0" t="str">
        <f aca="false">IF(AND(OR($F148="In Progress",$F148="Pending Client Data",$F148="Under Review"),$A148&lt;&gt;""),SUMPRODUCT((($F$2:$F$600="In Progress")+($F$2:$F$600="Pending Client Data")+($F$2:$F$600="Under Review"))*($A$2:$A$600&lt;&gt;"")*((IF($G$2:$G$600="",99999999,$G$2:$G$600))&lt;IF($G148="",99999999,$G148)))+SUMPRODUCT((($F$2:$F148="In Progress")+($F$2:$F148="Pending Client Data")+($F$2:$F148="Under Review"))*($A$2:$A148&lt;&gt;"")*((IF($G$2:$G148="",99999999,$G$2:$G148))=IF($G148="",99999999,$G148))),"")</f>
        <v/>
      </c>
    </row>
    <row r="149" customFormat="false" ht="15" hidden="false" customHeight="false" outlineLevel="0" collapsed="false">
      <c r="A149" s="9"/>
      <c r="B149" s="9"/>
      <c r="C149" s="10" t="str">
        <f aca="false">IF($B149="","",IFERROR(INDEX('Client Master'!$C:$C,MATCH($B149,'Client Master'!$B:$B,0)),"Code not found"))</f>
        <v/>
      </c>
      <c r="D149" s="9"/>
      <c r="E149" s="9"/>
      <c r="F149" s="9"/>
      <c r="G149" s="11"/>
      <c r="H149" s="11"/>
      <c r="I149" s="9"/>
      <c r="J149" s="12"/>
      <c r="K149" s="11"/>
      <c r="L149" s="9"/>
      <c r="N149" s="0" t="str">
        <f aca="false">IF(AND($J149&gt;0,$K149="",$A149&lt;&gt;""),SUMPRODUCT(($J$2:$J$600&gt;0)*($K$2:$K$600="")*($A$2:$A$600&lt;&gt;"")*((IF($G$2:$G$600="",99999999,$G$2:$G$600))&lt;IF($G149="",99999999,$G149)))+SUMPRODUCT(($J$2:$J149&gt;0)*($K$2:$K149="")*($A$2:$A149&lt;&gt;"")*((IF($G$2:$G149="",99999999,$G$2:$G149))=IF($G149="",99999999,$G149))),"")</f>
        <v/>
      </c>
      <c r="O149" s="0" t="str">
        <f aca="false">IF(AND($F149="Not Started",$A149&lt;&gt;""),SUMPRODUCT(($F$2:$F$600="Not Started")*($A$2:$A$600&lt;&gt;"")*((IF($G$2:$G$600="",99999999,$G$2:$G$600))&lt;IF($G149="",99999999,$G149)))+SUMPRODUCT(($F$2:$F149="Not Started")*($A$2:$A149&lt;&gt;"")*((IF($G$2:$G149="",99999999,$G$2:$G149))=IF($G149="",99999999,$G149))),"")</f>
        <v/>
      </c>
      <c r="P149" s="0" t="str">
        <f aca="false">IF(AND(OR($F149="In Progress",$F149="Pending Client Data",$F149="Under Review"),$A149&lt;&gt;""),SUMPRODUCT((($F$2:$F$600="In Progress")+($F$2:$F$600="Pending Client Data")+($F$2:$F$600="Under Review"))*($A$2:$A$600&lt;&gt;"")*((IF($G$2:$G$600="",99999999,$G$2:$G$600))&lt;IF($G149="",99999999,$G149)))+SUMPRODUCT((($F$2:$F149="In Progress")+($F$2:$F149="Pending Client Data")+($F$2:$F149="Under Review"))*($A$2:$A149&lt;&gt;"")*((IF($G$2:$G149="",99999999,$G$2:$G149))=IF($G149="",99999999,$G149))),"")</f>
        <v/>
      </c>
    </row>
    <row r="150" customFormat="false" ht="15" hidden="false" customHeight="false" outlineLevel="0" collapsed="false">
      <c r="A150" s="9"/>
      <c r="B150" s="9"/>
      <c r="C150" s="10" t="str">
        <f aca="false">IF($B150="","",IFERROR(INDEX('Client Master'!$C:$C,MATCH($B150,'Client Master'!$B:$B,0)),"Code not found"))</f>
        <v/>
      </c>
      <c r="D150" s="9"/>
      <c r="E150" s="9"/>
      <c r="F150" s="9"/>
      <c r="G150" s="11"/>
      <c r="H150" s="11"/>
      <c r="I150" s="9"/>
      <c r="J150" s="12"/>
      <c r="K150" s="11"/>
      <c r="L150" s="9"/>
      <c r="N150" s="0" t="str">
        <f aca="false">IF(AND($J150&gt;0,$K150="",$A150&lt;&gt;""),SUMPRODUCT(($J$2:$J$600&gt;0)*($K$2:$K$600="")*($A$2:$A$600&lt;&gt;"")*((IF($G$2:$G$600="",99999999,$G$2:$G$600))&lt;IF($G150="",99999999,$G150)))+SUMPRODUCT(($J$2:$J150&gt;0)*($K$2:$K150="")*($A$2:$A150&lt;&gt;"")*((IF($G$2:$G150="",99999999,$G$2:$G150))=IF($G150="",99999999,$G150))),"")</f>
        <v/>
      </c>
      <c r="O150" s="0" t="str">
        <f aca="false">IF(AND($F150="Not Started",$A150&lt;&gt;""),SUMPRODUCT(($F$2:$F$600="Not Started")*($A$2:$A$600&lt;&gt;"")*((IF($G$2:$G$600="",99999999,$G$2:$G$600))&lt;IF($G150="",99999999,$G150)))+SUMPRODUCT(($F$2:$F150="Not Started")*($A$2:$A150&lt;&gt;"")*((IF($G$2:$G150="",99999999,$G$2:$G150))=IF($G150="",99999999,$G150))),"")</f>
        <v/>
      </c>
      <c r="P150" s="0" t="str">
        <f aca="false">IF(AND(OR($F150="In Progress",$F150="Pending Client Data",$F150="Under Review"),$A150&lt;&gt;""),SUMPRODUCT((($F$2:$F$600="In Progress")+($F$2:$F$600="Pending Client Data")+($F$2:$F$600="Under Review"))*($A$2:$A$600&lt;&gt;"")*((IF($G$2:$G$600="",99999999,$G$2:$G$600))&lt;IF($G150="",99999999,$G150)))+SUMPRODUCT((($F$2:$F150="In Progress")+($F$2:$F150="Pending Client Data")+($F$2:$F150="Under Review"))*($A$2:$A150&lt;&gt;"")*((IF($G$2:$G150="",99999999,$G$2:$G150))=IF($G150="",99999999,$G150))),"")</f>
        <v/>
      </c>
    </row>
    <row r="151" customFormat="false" ht="15" hidden="false" customHeight="false" outlineLevel="0" collapsed="false">
      <c r="A151" s="9"/>
      <c r="B151" s="9"/>
      <c r="C151" s="10" t="str">
        <f aca="false">IF($B151="","",IFERROR(INDEX('Client Master'!$C:$C,MATCH($B151,'Client Master'!$B:$B,0)),"Code not found"))</f>
        <v/>
      </c>
      <c r="D151" s="9"/>
      <c r="E151" s="9"/>
      <c r="F151" s="9"/>
      <c r="G151" s="11"/>
      <c r="H151" s="11"/>
      <c r="I151" s="9"/>
      <c r="J151" s="12"/>
      <c r="K151" s="11"/>
      <c r="L151" s="9"/>
      <c r="N151" s="0" t="str">
        <f aca="false">IF(AND($J151&gt;0,$K151="",$A151&lt;&gt;""),SUMPRODUCT(($J$2:$J$600&gt;0)*($K$2:$K$600="")*($A$2:$A$600&lt;&gt;"")*((IF($G$2:$G$600="",99999999,$G$2:$G$600))&lt;IF($G151="",99999999,$G151)))+SUMPRODUCT(($J$2:$J151&gt;0)*($K$2:$K151="")*($A$2:$A151&lt;&gt;"")*((IF($G$2:$G151="",99999999,$G$2:$G151))=IF($G151="",99999999,$G151))),"")</f>
        <v/>
      </c>
      <c r="O151" s="0" t="str">
        <f aca="false">IF(AND($F151="Not Started",$A151&lt;&gt;""),SUMPRODUCT(($F$2:$F$600="Not Started")*($A$2:$A$600&lt;&gt;"")*((IF($G$2:$G$600="",99999999,$G$2:$G$600))&lt;IF($G151="",99999999,$G151)))+SUMPRODUCT(($F$2:$F151="Not Started")*($A$2:$A151&lt;&gt;"")*((IF($G$2:$G151="",99999999,$G$2:$G151))=IF($G151="",99999999,$G151))),"")</f>
        <v/>
      </c>
      <c r="P151" s="0" t="str">
        <f aca="false">IF(AND(OR($F151="In Progress",$F151="Pending Client Data",$F151="Under Review"),$A151&lt;&gt;""),SUMPRODUCT((($F$2:$F$600="In Progress")+($F$2:$F$600="Pending Client Data")+($F$2:$F$600="Under Review"))*($A$2:$A$600&lt;&gt;"")*((IF($G$2:$G$600="",99999999,$G$2:$G$600))&lt;IF($G151="",99999999,$G151)))+SUMPRODUCT((($F$2:$F151="In Progress")+($F$2:$F151="Pending Client Data")+($F$2:$F151="Under Review"))*($A$2:$A151&lt;&gt;"")*((IF($G$2:$G151="",99999999,$G$2:$G151))=IF($G151="",99999999,$G151))),"")</f>
        <v/>
      </c>
    </row>
    <row r="152" customFormat="false" ht="15" hidden="false" customHeight="false" outlineLevel="0" collapsed="false">
      <c r="A152" s="9"/>
      <c r="B152" s="9"/>
      <c r="C152" s="10" t="str">
        <f aca="false">IF($B152="","",IFERROR(INDEX('Client Master'!$C:$C,MATCH($B152,'Client Master'!$B:$B,0)),"Code not found"))</f>
        <v/>
      </c>
      <c r="D152" s="9"/>
      <c r="E152" s="9"/>
      <c r="F152" s="9"/>
      <c r="G152" s="11"/>
      <c r="H152" s="11"/>
      <c r="I152" s="9"/>
      <c r="J152" s="12"/>
      <c r="K152" s="11"/>
      <c r="L152" s="9"/>
      <c r="N152" s="0" t="str">
        <f aca="false">IF(AND($J152&gt;0,$K152="",$A152&lt;&gt;""),SUMPRODUCT(($J$2:$J$600&gt;0)*($K$2:$K$600="")*($A$2:$A$600&lt;&gt;"")*((IF($G$2:$G$600="",99999999,$G$2:$G$600))&lt;IF($G152="",99999999,$G152)))+SUMPRODUCT(($J$2:$J152&gt;0)*($K$2:$K152="")*($A$2:$A152&lt;&gt;"")*((IF($G$2:$G152="",99999999,$G$2:$G152))=IF($G152="",99999999,$G152))),"")</f>
        <v/>
      </c>
      <c r="O152" s="0" t="str">
        <f aca="false">IF(AND($F152="Not Started",$A152&lt;&gt;""),SUMPRODUCT(($F$2:$F$600="Not Started")*($A$2:$A$600&lt;&gt;"")*((IF($G$2:$G$600="",99999999,$G$2:$G$600))&lt;IF($G152="",99999999,$G152)))+SUMPRODUCT(($F$2:$F152="Not Started")*($A$2:$A152&lt;&gt;"")*((IF($G$2:$G152="",99999999,$G$2:$G152))=IF($G152="",99999999,$G152))),"")</f>
        <v/>
      </c>
      <c r="P152" s="0" t="str">
        <f aca="false">IF(AND(OR($F152="In Progress",$F152="Pending Client Data",$F152="Under Review"),$A152&lt;&gt;""),SUMPRODUCT((($F$2:$F$600="In Progress")+($F$2:$F$600="Pending Client Data")+($F$2:$F$600="Under Review"))*($A$2:$A$600&lt;&gt;"")*((IF($G$2:$G$600="",99999999,$G$2:$G$600))&lt;IF($G152="",99999999,$G152)))+SUMPRODUCT((($F$2:$F152="In Progress")+($F$2:$F152="Pending Client Data")+($F$2:$F152="Under Review"))*($A$2:$A152&lt;&gt;"")*((IF($G$2:$G152="",99999999,$G$2:$G152))=IF($G152="",99999999,$G152))),"")</f>
        <v/>
      </c>
    </row>
    <row r="153" customFormat="false" ht="15" hidden="false" customHeight="false" outlineLevel="0" collapsed="false">
      <c r="A153" s="9"/>
      <c r="B153" s="9"/>
      <c r="C153" s="10" t="str">
        <f aca="false">IF($B153="","",IFERROR(INDEX('Client Master'!$C:$C,MATCH($B153,'Client Master'!$B:$B,0)),"Code not found"))</f>
        <v/>
      </c>
      <c r="D153" s="9"/>
      <c r="E153" s="9"/>
      <c r="F153" s="9"/>
      <c r="G153" s="11"/>
      <c r="H153" s="11"/>
      <c r="I153" s="9"/>
      <c r="J153" s="12"/>
      <c r="K153" s="11"/>
      <c r="L153" s="9"/>
      <c r="N153" s="0" t="str">
        <f aca="false">IF(AND($J153&gt;0,$K153="",$A153&lt;&gt;""),SUMPRODUCT(($J$2:$J$600&gt;0)*($K$2:$K$600="")*($A$2:$A$600&lt;&gt;"")*((IF($G$2:$G$600="",99999999,$G$2:$G$600))&lt;IF($G153="",99999999,$G153)))+SUMPRODUCT(($J$2:$J153&gt;0)*($K$2:$K153="")*($A$2:$A153&lt;&gt;"")*((IF($G$2:$G153="",99999999,$G$2:$G153))=IF($G153="",99999999,$G153))),"")</f>
        <v/>
      </c>
      <c r="O153" s="0" t="str">
        <f aca="false">IF(AND($F153="Not Started",$A153&lt;&gt;""),SUMPRODUCT(($F$2:$F$600="Not Started")*($A$2:$A$600&lt;&gt;"")*((IF($G$2:$G$600="",99999999,$G$2:$G$600))&lt;IF($G153="",99999999,$G153)))+SUMPRODUCT(($F$2:$F153="Not Started")*($A$2:$A153&lt;&gt;"")*((IF($G$2:$G153="",99999999,$G$2:$G153))=IF($G153="",99999999,$G153))),"")</f>
        <v/>
      </c>
      <c r="P153" s="0" t="str">
        <f aca="false">IF(AND(OR($F153="In Progress",$F153="Pending Client Data",$F153="Under Review"),$A153&lt;&gt;""),SUMPRODUCT((($F$2:$F$600="In Progress")+($F$2:$F$600="Pending Client Data")+($F$2:$F$600="Under Review"))*($A$2:$A$600&lt;&gt;"")*((IF($G$2:$G$600="",99999999,$G$2:$G$600))&lt;IF($G153="",99999999,$G153)))+SUMPRODUCT((($F$2:$F153="In Progress")+($F$2:$F153="Pending Client Data")+($F$2:$F153="Under Review"))*($A$2:$A153&lt;&gt;"")*((IF($G$2:$G153="",99999999,$G$2:$G153))=IF($G153="",99999999,$G153))),"")</f>
        <v/>
      </c>
    </row>
    <row r="154" customFormat="false" ht="15" hidden="false" customHeight="false" outlineLevel="0" collapsed="false">
      <c r="A154" s="9"/>
      <c r="B154" s="9"/>
      <c r="C154" s="10" t="str">
        <f aca="false">IF($B154="","",IFERROR(INDEX('Client Master'!$C:$C,MATCH($B154,'Client Master'!$B:$B,0)),"Code not found"))</f>
        <v/>
      </c>
      <c r="D154" s="9"/>
      <c r="E154" s="9"/>
      <c r="F154" s="9"/>
      <c r="G154" s="11"/>
      <c r="H154" s="11"/>
      <c r="I154" s="9"/>
      <c r="J154" s="12"/>
      <c r="K154" s="11"/>
      <c r="L154" s="9"/>
      <c r="N154" s="0" t="str">
        <f aca="false">IF(AND($J154&gt;0,$K154="",$A154&lt;&gt;""),SUMPRODUCT(($J$2:$J$600&gt;0)*($K$2:$K$600="")*($A$2:$A$600&lt;&gt;"")*((IF($G$2:$G$600="",99999999,$G$2:$G$600))&lt;IF($G154="",99999999,$G154)))+SUMPRODUCT(($J$2:$J154&gt;0)*($K$2:$K154="")*($A$2:$A154&lt;&gt;"")*((IF($G$2:$G154="",99999999,$G$2:$G154))=IF($G154="",99999999,$G154))),"")</f>
        <v/>
      </c>
      <c r="O154" s="0" t="str">
        <f aca="false">IF(AND($F154="Not Started",$A154&lt;&gt;""),SUMPRODUCT(($F$2:$F$600="Not Started")*($A$2:$A$600&lt;&gt;"")*((IF($G$2:$G$600="",99999999,$G$2:$G$600))&lt;IF($G154="",99999999,$G154)))+SUMPRODUCT(($F$2:$F154="Not Started")*($A$2:$A154&lt;&gt;"")*((IF($G$2:$G154="",99999999,$G$2:$G154))=IF($G154="",99999999,$G154))),"")</f>
        <v/>
      </c>
      <c r="P154" s="0" t="str">
        <f aca="false">IF(AND(OR($F154="In Progress",$F154="Pending Client Data",$F154="Under Review"),$A154&lt;&gt;""),SUMPRODUCT((($F$2:$F$600="In Progress")+($F$2:$F$600="Pending Client Data")+($F$2:$F$600="Under Review"))*($A$2:$A$600&lt;&gt;"")*((IF($G$2:$G$600="",99999999,$G$2:$G$600))&lt;IF($G154="",99999999,$G154)))+SUMPRODUCT((($F$2:$F154="In Progress")+($F$2:$F154="Pending Client Data")+($F$2:$F154="Under Review"))*($A$2:$A154&lt;&gt;"")*((IF($G$2:$G154="",99999999,$G$2:$G154))=IF($G154="",99999999,$G154))),"")</f>
        <v/>
      </c>
    </row>
    <row r="155" customFormat="false" ht="15" hidden="false" customHeight="false" outlineLevel="0" collapsed="false">
      <c r="A155" s="9"/>
      <c r="B155" s="9"/>
      <c r="C155" s="10" t="str">
        <f aca="false">IF($B155="","",IFERROR(INDEX('Client Master'!$C:$C,MATCH($B155,'Client Master'!$B:$B,0)),"Code not found"))</f>
        <v/>
      </c>
      <c r="D155" s="9"/>
      <c r="E155" s="9"/>
      <c r="F155" s="9"/>
      <c r="G155" s="11"/>
      <c r="H155" s="11"/>
      <c r="I155" s="9"/>
      <c r="J155" s="12"/>
      <c r="K155" s="11"/>
      <c r="L155" s="9"/>
      <c r="N155" s="0" t="str">
        <f aca="false">IF(AND($J155&gt;0,$K155="",$A155&lt;&gt;""),SUMPRODUCT(($J$2:$J$600&gt;0)*($K$2:$K$600="")*($A$2:$A$600&lt;&gt;"")*((IF($G$2:$G$600="",99999999,$G$2:$G$600))&lt;IF($G155="",99999999,$G155)))+SUMPRODUCT(($J$2:$J155&gt;0)*($K$2:$K155="")*($A$2:$A155&lt;&gt;"")*((IF($G$2:$G155="",99999999,$G$2:$G155))=IF($G155="",99999999,$G155))),"")</f>
        <v/>
      </c>
      <c r="O155" s="0" t="str">
        <f aca="false">IF(AND($F155="Not Started",$A155&lt;&gt;""),SUMPRODUCT(($F$2:$F$600="Not Started")*($A$2:$A$600&lt;&gt;"")*((IF($G$2:$G$600="",99999999,$G$2:$G$600))&lt;IF($G155="",99999999,$G155)))+SUMPRODUCT(($F$2:$F155="Not Started")*($A$2:$A155&lt;&gt;"")*((IF($G$2:$G155="",99999999,$G$2:$G155))=IF($G155="",99999999,$G155))),"")</f>
        <v/>
      </c>
      <c r="P155" s="0" t="str">
        <f aca="false">IF(AND(OR($F155="In Progress",$F155="Pending Client Data",$F155="Under Review"),$A155&lt;&gt;""),SUMPRODUCT((($F$2:$F$600="In Progress")+($F$2:$F$600="Pending Client Data")+($F$2:$F$600="Under Review"))*($A$2:$A$600&lt;&gt;"")*((IF($G$2:$G$600="",99999999,$G$2:$G$600))&lt;IF($G155="",99999999,$G155)))+SUMPRODUCT((($F$2:$F155="In Progress")+($F$2:$F155="Pending Client Data")+($F$2:$F155="Under Review"))*($A$2:$A155&lt;&gt;"")*((IF($G$2:$G155="",99999999,$G$2:$G155))=IF($G155="",99999999,$G155))),"")</f>
        <v/>
      </c>
    </row>
    <row r="156" customFormat="false" ht="15" hidden="false" customHeight="false" outlineLevel="0" collapsed="false">
      <c r="A156" s="9"/>
      <c r="B156" s="9"/>
      <c r="C156" s="10" t="str">
        <f aca="false">IF($B156="","",IFERROR(INDEX('Client Master'!$C:$C,MATCH($B156,'Client Master'!$B:$B,0)),"Code not found"))</f>
        <v/>
      </c>
      <c r="D156" s="9"/>
      <c r="E156" s="9"/>
      <c r="F156" s="9"/>
      <c r="G156" s="11"/>
      <c r="H156" s="11"/>
      <c r="I156" s="9"/>
      <c r="J156" s="12"/>
      <c r="K156" s="11"/>
      <c r="L156" s="9"/>
      <c r="N156" s="0" t="str">
        <f aca="false">IF(AND($J156&gt;0,$K156="",$A156&lt;&gt;""),SUMPRODUCT(($J$2:$J$600&gt;0)*($K$2:$K$600="")*($A$2:$A$600&lt;&gt;"")*((IF($G$2:$G$600="",99999999,$G$2:$G$600))&lt;IF($G156="",99999999,$G156)))+SUMPRODUCT(($J$2:$J156&gt;0)*($K$2:$K156="")*($A$2:$A156&lt;&gt;"")*((IF($G$2:$G156="",99999999,$G$2:$G156))=IF($G156="",99999999,$G156))),"")</f>
        <v/>
      </c>
      <c r="O156" s="0" t="str">
        <f aca="false">IF(AND($F156="Not Started",$A156&lt;&gt;""),SUMPRODUCT(($F$2:$F$600="Not Started")*($A$2:$A$600&lt;&gt;"")*((IF($G$2:$G$600="",99999999,$G$2:$G$600))&lt;IF($G156="",99999999,$G156)))+SUMPRODUCT(($F$2:$F156="Not Started")*($A$2:$A156&lt;&gt;"")*((IF($G$2:$G156="",99999999,$G$2:$G156))=IF($G156="",99999999,$G156))),"")</f>
        <v/>
      </c>
      <c r="P156" s="0" t="str">
        <f aca="false">IF(AND(OR($F156="In Progress",$F156="Pending Client Data",$F156="Under Review"),$A156&lt;&gt;""),SUMPRODUCT((($F$2:$F$600="In Progress")+($F$2:$F$600="Pending Client Data")+($F$2:$F$600="Under Review"))*($A$2:$A$600&lt;&gt;"")*((IF($G$2:$G$600="",99999999,$G$2:$G$600))&lt;IF($G156="",99999999,$G156)))+SUMPRODUCT((($F$2:$F156="In Progress")+($F$2:$F156="Pending Client Data")+($F$2:$F156="Under Review"))*($A$2:$A156&lt;&gt;"")*((IF($G$2:$G156="",99999999,$G$2:$G156))=IF($G156="",99999999,$G156))),"")</f>
        <v/>
      </c>
    </row>
    <row r="157" customFormat="false" ht="15" hidden="false" customHeight="false" outlineLevel="0" collapsed="false">
      <c r="A157" s="9"/>
      <c r="B157" s="9"/>
      <c r="C157" s="10" t="str">
        <f aca="false">IF($B157="","",IFERROR(INDEX('Client Master'!$C:$C,MATCH($B157,'Client Master'!$B:$B,0)),"Code not found"))</f>
        <v/>
      </c>
      <c r="D157" s="9"/>
      <c r="E157" s="9"/>
      <c r="F157" s="9"/>
      <c r="G157" s="11"/>
      <c r="H157" s="11"/>
      <c r="I157" s="9"/>
      <c r="J157" s="12"/>
      <c r="K157" s="11"/>
      <c r="L157" s="9"/>
      <c r="N157" s="0" t="str">
        <f aca="false">IF(AND($J157&gt;0,$K157="",$A157&lt;&gt;""),SUMPRODUCT(($J$2:$J$600&gt;0)*($K$2:$K$600="")*($A$2:$A$600&lt;&gt;"")*((IF($G$2:$G$600="",99999999,$G$2:$G$600))&lt;IF($G157="",99999999,$G157)))+SUMPRODUCT(($J$2:$J157&gt;0)*($K$2:$K157="")*($A$2:$A157&lt;&gt;"")*((IF($G$2:$G157="",99999999,$G$2:$G157))=IF($G157="",99999999,$G157))),"")</f>
        <v/>
      </c>
      <c r="O157" s="0" t="str">
        <f aca="false">IF(AND($F157="Not Started",$A157&lt;&gt;""),SUMPRODUCT(($F$2:$F$600="Not Started")*($A$2:$A$600&lt;&gt;"")*((IF($G$2:$G$600="",99999999,$G$2:$G$600))&lt;IF($G157="",99999999,$G157)))+SUMPRODUCT(($F$2:$F157="Not Started")*($A$2:$A157&lt;&gt;"")*((IF($G$2:$G157="",99999999,$G$2:$G157))=IF($G157="",99999999,$G157))),"")</f>
        <v/>
      </c>
      <c r="P157" s="0" t="str">
        <f aca="false">IF(AND(OR($F157="In Progress",$F157="Pending Client Data",$F157="Under Review"),$A157&lt;&gt;""),SUMPRODUCT((($F$2:$F$600="In Progress")+($F$2:$F$600="Pending Client Data")+($F$2:$F$600="Under Review"))*($A$2:$A$600&lt;&gt;"")*((IF($G$2:$G$600="",99999999,$G$2:$G$600))&lt;IF($G157="",99999999,$G157)))+SUMPRODUCT((($F$2:$F157="In Progress")+($F$2:$F157="Pending Client Data")+($F$2:$F157="Under Review"))*($A$2:$A157&lt;&gt;"")*((IF($G$2:$G157="",99999999,$G$2:$G157))=IF($G157="",99999999,$G157))),"")</f>
        <v/>
      </c>
    </row>
    <row r="158" customFormat="false" ht="15" hidden="false" customHeight="false" outlineLevel="0" collapsed="false">
      <c r="A158" s="9"/>
      <c r="B158" s="9"/>
      <c r="C158" s="10" t="str">
        <f aca="false">IF($B158="","",IFERROR(INDEX('Client Master'!$C:$C,MATCH($B158,'Client Master'!$B:$B,0)),"Code not found"))</f>
        <v/>
      </c>
      <c r="D158" s="9"/>
      <c r="E158" s="9"/>
      <c r="F158" s="9"/>
      <c r="G158" s="11"/>
      <c r="H158" s="11"/>
      <c r="I158" s="9"/>
      <c r="J158" s="12"/>
      <c r="K158" s="11"/>
      <c r="L158" s="9"/>
      <c r="N158" s="0" t="str">
        <f aca="false">IF(AND($J158&gt;0,$K158="",$A158&lt;&gt;""),SUMPRODUCT(($J$2:$J$600&gt;0)*($K$2:$K$600="")*($A$2:$A$600&lt;&gt;"")*((IF($G$2:$G$600="",99999999,$G$2:$G$600))&lt;IF($G158="",99999999,$G158)))+SUMPRODUCT(($J$2:$J158&gt;0)*($K$2:$K158="")*($A$2:$A158&lt;&gt;"")*((IF($G$2:$G158="",99999999,$G$2:$G158))=IF($G158="",99999999,$G158))),"")</f>
        <v/>
      </c>
      <c r="O158" s="0" t="str">
        <f aca="false">IF(AND($F158="Not Started",$A158&lt;&gt;""),SUMPRODUCT(($F$2:$F$600="Not Started")*($A$2:$A$600&lt;&gt;"")*((IF($G$2:$G$600="",99999999,$G$2:$G$600))&lt;IF($G158="",99999999,$G158)))+SUMPRODUCT(($F$2:$F158="Not Started")*($A$2:$A158&lt;&gt;"")*((IF($G$2:$G158="",99999999,$G$2:$G158))=IF($G158="",99999999,$G158))),"")</f>
        <v/>
      </c>
      <c r="P158" s="0" t="str">
        <f aca="false">IF(AND(OR($F158="In Progress",$F158="Pending Client Data",$F158="Under Review"),$A158&lt;&gt;""),SUMPRODUCT((($F$2:$F$600="In Progress")+($F$2:$F$600="Pending Client Data")+($F$2:$F$600="Under Review"))*($A$2:$A$600&lt;&gt;"")*((IF($G$2:$G$600="",99999999,$G$2:$G$600))&lt;IF($G158="",99999999,$G158)))+SUMPRODUCT((($F$2:$F158="In Progress")+($F$2:$F158="Pending Client Data")+($F$2:$F158="Under Review"))*($A$2:$A158&lt;&gt;"")*((IF($G$2:$G158="",99999999,$G$2:$G158))=IF($G158="",99999999,$G158))),"")</f>
        <v/>
      </c>
    </row>
    <row r="159" customFormat="false" ht="15" hidden="false" customHeight="false" outlineLevel="0" collapsed="false">
      <c r="A159" s="9"/>
      <c r="B159" s="9"/>
      <c r="C159" s="10" t="str">
        <f aca="false">IF($B159="","",IFERROR(INDEX('Client Master'!$C:$C,MATCH($B159,'Client Master'!$B:$B,0)),"Code not found"))</f>
        <v/>
      </c>
      <c r="D159" s="9"/>
      <c r="E159" s="9"/>
      <c r="F159" s="9"/>
      <c r="G159" s="11"/>
      <c r="H159" s="11"/>
      <c r="I159" s="9"/>
      <c r="J159" s="12"/>
      <c r="K159" s="11"/>
      <c r="L159" s="9"/>
      <c r="N159" s="0" t="str">
        <f aca="false">IF(AND($J159&gt;0,$K159="",$A159&lt;&gt;""),SUMPRODUCT(($J$2:$J$600&gt;0)*($K$2:$K$600="")*($A$2:$A$600&lt;&gt;"")*((IF($G$2:$G$600="",99999999,$G$2:$G$600))&lt;IF($G159="",99999999,$G159)))+SUMPRODUCT(($J$2:$J159&gt;0)*($K$2:$K159="")*($A$2:$A159&lt;&gt;"")*((IF($G$2:$G159="",99999999,$G$2:$G159))=IF($G159="",99999999,$G159))),"")</f>
        <v/>
      </c>
      <c r="O159" s="0" t="str">
        <f aca="false">IF(AND($F159="Not Started",$A159&lt;&gt;""),SUMPRODUCT(($F$2:$F$600="Not Started")*($A$2:$A$600&lt;&gt;"")*((IF($G$2:$G$600="",99999999,$G$2:$G$600))&lt;IF($G159="",99999999,$G159)))+SUMPRODUCT(($F$2:$F159="Not Started")*($A$2:$A159&lt;&gt;"")*((IF($G$2:$G159="",99999999,$G$2:$G159))=IF($G159="",99999999,$G159))),"")</f>
        <v/>
      </c>
      <c r="P159" s="0" t="str">
        <f aca="false">IF(AND(OR($F159="In Progress",$F159="Pending Client Data",$F159="Under Review"),$A159&lt;&gt;""),SUMPRODUCT((($F$2:$F$600="In Progress")+($F$2:$F$600="Pending Client Data")+($F$2:$F$600="Under Review"))*($A$2:$A$600&lt;&gt;"")*((IF($G$2:$G$600="",99999999,$G$2:$G$600))&lt;IF($G159="",99999999,$G159)))+SUMPRODUCT((($F$2:$F159="In Progress")+($F$2:$F159="Pending Client Data")+($F$2:$F159="Under Review"))*($A$2:$A159&lt;&gt;"")*((IF($G$2:$G159="",99999999,$G$2:$G159))=IF($G159="",99999999,$G159))),"")</f>
        <v/>
      </c>
    </row>
    <row r="160" customFormat="false" ht="15" hidden="false" customHeight="false" outlineLevel="0" collapsed="false">
      <c r="A160" s="9"/>
      <c r="B160" s="9"/>
      <c r="C160" s="10" t="str">
        <f aca="false">IF($B160="","",IFERROR(INDEX('Client Master'!$C:$C,MATCH($B160,'Client Master'!$B:$B,0)),"Code not found"))</f>
        <v/>
      </c>
      <c r="D160" s="9"/>
      <c r="E160" s="9"/>
      <c r="F160" s="9"/>
      <c r="G160" s="11"/>
      <c r="H160" s="11"/>
      <c r="I160" s="9"/>
      <c r="J160" s="12"/>
      <c r="K160" s="11"/>
      <c r="L160" s="9"/>
      <c r="N160" s="0" t="str">
        <f aca="false">IF(AND($J160&gt;0,$K160="",$A160&lt;&gt;""),SUMPRODUCT(($J$2:$J$600&gt;0)*($K$2:$K$600="")*($A$2:$A$600&lt;&gt;"")*((IF($G$2:$G$600="",99999999,$G$2:$G$600))&lt;IF($G160="",99999999,$G160)))+SUMPRODUCT(($J$2:$J160&gt;0)*($K$2:$K160="")*($A$2:$A160&lt;&gt;"")*((IF($G$2:$G160="",99999999,$G$2:$G160))=IF($G160="",99999999,$G160))),"")</f>
        <v/>
      </c>
      <c r="O160" s="0" t="str">
        <f aca="false">IF(AND($F160="Not Started",$A160&lt;&gt;""),SUMPRODUCT(($F$2:$F$600="Not Started")*($A$2:$A$600&lt;&gt;"")*((IF($G$2:$G$600="",99999999,$G$2:$G$600))&lt;IF($G160="",99999999,$G160)))+SUMPRODUCT(($F$2:$F160="Not Started")*($A$2:$A160&lt;&gt;"")*((IF($G$2:$G160="",99999999,$G$2:$G160))=IF($G160="",99999999,$G160))),"")</f>
        <v/>
      </c>
      <c r="P160" s="0" t="str">
        <f aca="false">IF(AND(OR($F160="In Progress",$F160="Pending Client Data",$F160="Under Review"),$A160&lt;&gt;""),SUMPRODUCT((($F$2:$F$600="In Progress")+($F$2:$F$600="Pending Client Data")+($F$2:$F$600="Under Review"))*($A$2:$A$600&lt;&gt;"")*((IF($G$2:$G$600="",99999999,$G$2:$G$600))&lt;IF($G160="",99999999,$G160)))+SUMPRODUCT((($F$2:$F160="In Progress")+($F$2:$F160="Pending Client Data")+($F$2:$F160="Under Review"))*($A$2:$A160&lt;&gt;"")*((IF($G$2:$G160="",99999999,$G$2:$G160))=IF($G160="",99999999,$G160))),"")</f>
        <v/>
      </c>
    </row>
    <row r="161" customFormat="false" ht="15" hidden="false" customHeight="false" outlineLevel="0" collapsed="false">
      <c r="A161" s="9"/>
      <c r="B161" s="9"/>
      <c r="C161" s="10" t="str">
        <f aca="false">IF($B161="","",IFERROR(INDEX('Client Master'!$C:$C,MATCH($B161,'Client Master'!$B:$B,0)),"Code not found"))</f>
        <v/>
      </c>
      <c r="D161" s="9"/>
      <c r="E161" s="9"/>
      <c r="F161" s="9"/>
      <c r="G161" s="11"/>
      <c r="H161" s="11"/>
      <c r="I161" s="9"/>
      <c r="J161" s="12"/>
      <c r="K161" s="11"/>
      <c r="L161" s="9"/>
      <c r="N161" s="0" t="str">
        <f aca="false">IF(AND($J161&gt;0,$K161="",$A161&lt;&gt;""),SUMPRODUCT(($J$2:$J$600&gt;0)*($K$2:$K$600="")*($A$2:$A$600&lt;&gt;"")*((IF($G$2:$G$600="",99999999,$G$2:$G$600))&lt;IF($G161="",99999999,$G161)))+SUMPRODUCT(($J$2:$J161&gt;0)*($K$2:$K161="")*($A$2:$A161&lt;&gt;"")*((IF($G$2:$G161="",99999999,$G$2:$G161))=IF($G161="",99999999,$G161))),"")</f>
        <v/>
      </c>
      <c r="O161" s="0" t="str">
        <f aca="false">IF(AND($F161="Not Started",$A161&lt;&gt;""),SUMPRODUCT(($F$2:$F$600="Not Started")*($A$2:$A$600&lt;&gt;"")*((IF($G$2:$G$600="",99999999,$G$2:$G$600))&lt;IF($G161="",99999999,$G161)))+SUMPRODUCT(($F$2:$F161="Not Started")*($A$2:$A161&lt;&gt;"")*((IF($G$2:$G161="",99999999,$G$2:$G161))=IF($G161="",99999999,$G161))),"")</f>
        <v/>
      </c>
      <c r="P161" s="0" t="str">
        <f aca="false">IF(AND(OR($F161="In Progress",$F161="Pending Client Data",$F161="Under Review"),$A161&lt;&gt;""),SUMPRODUCT((($F$2:$F$600="In Progress")+($F$2:$F$600="Pending Client Data")+($F$2:$F$600="Under Review"))*($A$2:$A$600&lt;&gt;"")*((IF($G$2:$G$600="",99999999,$G$2:$G$600))&lt;IF($G161="",99999999,$G161)))+SUMPRODUCT((($F$2:$F161="In Progress")+($F$2:$F161="Pending Client Data")+($F$2:$F161="Under Review"))*($A$2:$A161&lt;&gt;"")*((IF($G$2:$G161="",99999999,$G$2:$G161))=IF($G161="",99999999,$G161))),"")</f>
        <v/>
      </c>
    </row>
    <row r="162" customFormat="false" ht="15" hidden="false" customHeight="false" outlineLevel="0" collapsed="false">
      <c r="A162" s="9"/>
      <c r="B162" s="9"/>
      <c r="C162" s="10" t="str">
        <f aca="false">IF($B162="","",IFERROR(INDEX('Client Master'!$C:$C,MATCH($B162,'Client Master'!$B:$B,0)),"Code not found"))</f>
        <v/>
      </c>
      <c r="D162" s="9"/>
      <c r="E162" s="9"/>
      <c r="F162" s="9"/>
      <c r="G162" s="11"/>
      <c r="H162" s="11"/>
      <c r="I162" s="9"/>
      <c r="J162" s="12"/>
      <c r="K162" s="11"/>
      <c r="L162" s="9"/>
      <c r="N162" s="0" t="str">
        <f aca="false">IF(AND($J162&gt;0,$K162="",$A162&lt;&gt;""),SUMPRODUCT(($J$2:$J$600&gt;0)*($K$2:$K$600="")*($A$2:$A$600&lt;&gt;"")*((IF($G$2:$G$600="",99999999,$G$2:$G$600))&lt;IF($G162="",99999999,$G162)))+SUMPRODUCT(($J$2:$J162&gt;0)*($K$2:$K162="")*($A$2:$A162&lt;&gt;"")*((IF($G$2:$G162="",99999999,$G$2:$G162))=IF($G162="",99999999,$G162))),"")</f>
        <v/>
      </c>
      <c r="O162" s="0" t="str">
        <f aca="false">IF(AND($F162="Not Started",$A162&lt;&gt;""),SUMPRODUCT(($F$2:$F$600="Not Started")*($A$2:$A$600&lt;&gt;"")*((IF($G$2:$G$600="",99999999,$G$2:$G$600))&lt;IF($G162="",99999999,$G162)))+SUMPRODUCT(($F$2:$F162="Not Started")*($A$2:$A162&lt;&gt;"")*((IF($G$2:$G162="",99999999,$G$2:$G162))=IF($G162="",99999999,$G162))),"")</f>
        <v/>
      </c>
      <c r="P162" s="0" t="str">
        <f aca="false">IF(AND(OR($F162="In Progress",$F162="Pending Client Data",$F162="Under Review"),$A162&lt;&gt;""),SUMPRODUCT((($F$2:$F$600="In Progress")+($F$2:$F$600="Pending Client Data")+($F$2:$F$600="Under Review"))*($A$2:$A$600&lt;&gt;"")*((IF($G$2:$G$600="",99999999,$G$2:$G$600))&lt;IF($G162="",99999999,$G162)))+SUMPRODUCT((($F$2:$F162="In Progress")+($F$2:$F162="Pending Client Data")+($F$2:$F162="Under Review"))*($A$2:$A162&lt;&gt;"")*((IF($G$2:$G162="",99999999,$G$2:$G162))=IF($G162="",99999999,$G162))),"")</f>
        <v/>
      </c>
    </row>
    <row r="163" customFormat="false" ht="15" hidden="false" customHeight="false" outlineLevel="0" collapsed="false">
      <c r="A163" s="9"/>
      <c r="B163" s="9"/>
      <c r="C163" s="10" t="str">
        <f aca="false">IF($B163="","",IFERROR(INDEX('Client Master'!$C:$C,MATCH($B163,'Client Master'!$B:$B,0)),"Code not found"))</f>
        <v/>
      </c>
      <c r="D163" s="9"/>
      <c r="E163" s="9"/>
      <c r="F163" s="9"/>
      <c r="G163" s="11"/>
      <c r="H163" s="11"/>
      <c r="I163" s="9"/>
      <c r="J163" s="12"/>
      <c r="K163" s="11"/>
      <c r="L163" s="9"/>
      <c r="N163" s="0" t="str">
        <f aca="false">IF(AND($J163&gt;0,$K163="",$A163&lt;&gt;""),SUMPRODUCT(($J$2:$J$600&gt;0)*($K$2:$K$600="")*($A$2:$A$600&lt;&gt;"")*((IF($G$2:$G$600="",99999999,$G$2:$G$600))&lt;IF($G163="",99999999,$G163)))+SUMPRODUCT(($J$2:$J163&gt;0)*($K$2:$K163="")*($A$2:$A163&lt;&gt;"")*((IF($G$2:$G163="",99999999,$G$2:$G163))=IF($G163="",99999999,$G163))),"")</f>
        <v/>
      </c>
      <c r="O163" s="0" t="str">
        <f aca="false">IF(AND($F163="Not Started",$A163&lt;&gt;""),SUMPRODUCT(($F$2:$F$600="Not Started")*($A$2:$A$600&lt;&gt;"")*((IF($G$2:$G$600="",99999999,$G$2:$G$600))&lt;IF($G163="",99999999,$G163)))+SUMPRODUCT(($F$2:$F163="Not Started")*($A$2:$A163&lt;&gt;"")*((IF($G$2:$G163="",99999999,$G$2:$G163))=IF($G163="",99999999,$G163))),"")</f>
        <v/>
      </c>
      <c r="P163" s="0" t="str">
        <f aca="false">IF(AND(OR($F163="In Progress",$F163="Pending Client Data",$F163="Under Review"),$A163&lt;&gt;""),SUMPRODUCT((($F$2:$F$600="In Progress")+($F$2:$F$600="Pending Client Data")+($F$2:$F$600="Under Review"))*($A$2:$A$600&lt;&gt;"")*((IF($G$2:$G$600="",99999999,$G$2:$G$600))&lt;IF($G163="",99999999,$G163)))+SUMPRODUCT((($F$2:$F163="In Progress")+($F$2:$F163="Pending Client Data")+($F$2:$F163="Under Review"))*($A$2:$A163&lt;&gt;"")*((IF($G$2:$G163="",99999999,$G$2:$G163))=IF($G163="",99999999,$G163))),"")</f>
        <v/>
      </c>
    </row>
    <row r="164" customFormat="false" ht="15" hidden="false" customHeight="false" outlineLevel="0" collapsed="false">
      <c r="A164" s="9"/>
      <c r="B164" s="9"/>
      <c r="C164" s="10" t="str">
        <f aca="false">IF($B164="","",IFERROR(INDEX('Client Master'!$C:$C,MATCH($B164,'Client Master'!$B:$B,0)),"Code not found"))</f>
        <v/>
      </c>
      <c r="D164" s="9"/>
      <c r="E164" s="9"/>
      <c r="F164" s="9"/>
      <c r="G164" s="11"/>
      <c r="H164" s="11"/>
      <c r="I164" s="9"/>
      <c r="J164" s="12"/>
      <c r="K164" s="11"/>
      <c r="L164" s="9"/>
      <c r="N164" s="0" t="str">
        <f aca="false">IF(AND($J164&gt;0,$K164="",$A164&lt;&gt;""),SUMPRODUCT(($J$2:$J$600&gt;0)*($K$2:$K$600="")*($A$2:$A$600&lt;&gt;"")*((IF($G$2:$G$600="",99999999,$G$2:$G$600))&lt;IF($G164="",99999999,$G164)))+SUMPRODUCT(($J$2:$J164&gt;0)*($K$2:$K164="")*($A$2:$A164&lt;&gt;"")*((IF($G$2:$G164="",99999999,$G$2:$G164))=IF($G164="",99999999,$G164))),"")</f>
        <v/>
      </c>
      <c r="O164" s="0" t="str">
        <f aca="false">IF(AND($F164="Not Started",$A164&lt;&gt;""),SUMPRODUCT(($F$2:$F$600="Not Started")*($A$2:$A$600&lt;&gt;"")*((IF($G$2:$G$600="",99999999,$G$2:$G$600))&lt;IF($G164="",99999999,$G164)))+SUMPRODUCT(($F$2:$F164="Not Started")*($A$2:$A164&lt;&gt;"")*((IF($G$2:$G164="",99999999,$G$2:$G164))=IF($G164="",99999999,$G164))),"")</f>
        <v/>
      </c>
      <c r="P164" s="0" t="str">
        <f aca="false">IF(AND(OR($F164="In Progress",$F164="Pending Client Data",$F164="Under Review"),$A164&lt;&gt;""),SUMPRODUCT((($F$2:$F$600="In Progress")+($F$2:$F$600="Pending Client Data")+($F$2:$F$600="Under Review"))*($A$2:$A$600&lt;&gt;"")*((IF($G$2:$G$600="",99999999,$G$2:$G$600))&lt;IF($G164="",99999999,$G164)))+SUMPRODUCT((($F$2:$F164="In Progress")+($F$2:$F164="Pending Client Data")+($F$2:$F164="Under Review"))*($A$2:$A164&lt;&gt;"")*((IF($G$2:$G164="",99999999,$G$2:$G164))=IF($G164="",99999999,$G164))),"")</f>
        <v/>
      </c>
    </row>
    <row r="165" customFormat="false" ht="15" hidden="false" customHeight="false" outlineLevel="0" collapsed="false">
      <c r="A165" s="9"/>
      <c r="B165" s="9"/>
      <c r="C165" s="10" t="str">
        <f aca="false">IF($B165="","",IFERROR(INDEX('Client Master'!$C:$C,MATCH($B165,'Client Master'!$B:$B,0)),"Code not found"))</f>
        <v/>
      </c>
      <c r="D165" s="9"/>
      <c r="E165" s="9"/>
      <c r="F165" s="9"/>
      <c r="G165" s="11"/>
      <c r="H165" s="11"/>
      <c r="I165" s="9"/>
      <c r="J165" s="12"/>
      <c r="K165" s="11"/>
      <c r="L165" s="9"/>
      <c r="N165" s="0" t="str">
        <f aca="false">IF(AND($J165&gt;0,$K165="",$A165&lt;&gt;""),SUMPRODUCT(($J$2:$J$600&gt;0)*($K$2:$K$600="")*($A$2:$A$600&lt;&gt;"")*((IF($G$2:$G$600="",99999999,$G$2:$G$600))&lt;IF($G165="",99999999,$G165)))+SUMPRODUCT(($J$2:$J165&gt;0)*($K$2:$K165="")*($A$2:$A165&lt;&gt;"")*((IF($G$2:$G165="",99999999,$G$2:$G165))=IF($G165="",99999999,$G165))),"")</f>
        <v/>
      </c>
      <c r="O165" s="0" t="str">
        <f aca="false">IF(AND($F165="Not Started",$A165&lt;&gt;""),SUMPRODUCT(($F$2:$F$600="Not Started")*($A$2:$A$600&lt;&gt;"")*((IF($G$2:$G$600="",99999999,$G$2:$G$600))&lt;IF($G165="",99999999,$G165)))+SUMPRODUCT(($F$2:$F165="Not Started")*($A$2:$A165&lt;&gt;"")*((IF($G$2:$G165="",99999999,$G$2:$G165))=IF($G165="",99999999,$G165))),"")</f>
        <v/>
      </c>
      <c r="P165" s="0" t="str">
        <f aca="false">IF(AND(OR($F165="In Progress",$F165="Pending Client Data",$F165="Under Review"),$A165&lt;&gt;""),SUMPRODUCT((($F$2:$F$600="In Progress")+($F$2:$F$600="Pending Client Data")+($F$2:$F$600="Under Review"))*($A$2:$A$600&lt;&gt;"")*((IF($G$2:$G$600="",99999999,$G$2:$G$600))&lt;IF($G165="",99999999,$G165)))+SUMPRODUCT((($F$2:$F165="In Progress")+($F$2:$F165="Pending Client Data")+($F$2:$F165="Under Review"))*($A$2:$A165&lt;&gt;"")*((IF($G$2:$G165="",99999999,$G$2:$G165))=IF($G165="",99999999,$G165))),"")</f>
        <v/>
      </c>
    </row>
    <row r="166" customFormat="false" ht="15" hidden="false" customHeight="false" outlineLevel="0" collapsed="false">
      <c r="A166" s="9"/>
      <c r="B166" s="9"/>
      <c r="C166" s="10" t="str">
        <f aca="false">IF($B166="","",IFERROR(INDEX('Client Master'!$C:$C,MATCH($B166,'Client Master'!$B:$B,0)),"Code not found"))</f>
        <v/>
      </c>
      <c r="D166" s="9"/>
      <c r="E166" s="9"/>
      <c r="F166" s="9"/>
      <c r="G166" s="11"/>
      <c r="H166" s="11"/>
      <c r="I166" s="9"/>
      <c r="J166" s="12"/>
      <c r="K166" s="11"/>
      <c r="L166" s="9"/>
      <c r="N166" s="0" t="str">
        <f aca="false">IF(AND($J166&gt;0,$K166="",$A166&lt;&gt;""),SUMPRODUCT(($J$2:$J$600&gt;0)*($K$2:$K$600="")*($A$2:$A$600&lt;&gt;"")*((IF($G$2:$G$600="",99999999,$G$2:$G$600))&lt;IF($G166="",99999999,$G166)))+SUMPRODUCT(($J$2:$J166&gt;0)*($K$2:$K166="")*($A$2:$A166&lt;&gt;"")*((IF($G$2:$G166="",99999999,$G$2:$G166))=IF($G166="",99999999,$G166))),"")</f>
        <v/>
      </c>
      <c r="O166" s="0" t="str">
        <f aca="false">IF(AND($F166="Not Started",$A166&lt;&gt;""),SUMPRODUCT(($F$2:$F$600="Not Started")*($A$2:$A$600&lt;&gt;"")*((IF($G$2:$G$600="",99999999,$G$2:$G$600))&lt;IF($G166="",99999999,$G166)))+SUMPRODUCT(($F$2:$F166="Not Started")*($A$2:$A166&lt;&gt;"")*((IF($G$2:$G166="",99999999,$G$2:$G166))=IF($G166="",99999999,$G166))),"")</f>
        <v/>
      </c>
      <c r="P166" s="0" t="str">
        <f aca="false">IF(AND(OR($F166="In Progress",$F166="Pending Client Data",$F166="Under Review"),$A166&lt;&gt;""),SUMPRODUCT((($F$2:$F$600="In Progress")+($F$2:$F$600="Pending Client Data")+($F$2:$F$600="Under Review"))*($A$2:$A$600&lt;&gt;"")*((IF($G$2:$G$600="",99999999,$G$2:$G$600))&lt;IF($G166="",99999999,$G166)))+SUMPRODUCT((($F$2:$F166="In Progress")+($F$2:$F166="Pending Client Data")+($F$2:$F166="Under Review"))*($A$2:$A166&lt;&gt;"")*((IF($G$2:$G166="",99999999,$G$2:$G166))=IF($G166="",99999999,$G166))),"")</f>
        <v/>
      </c>
    </row>
    <row r="167" customFormat="false" ht="15" hidden="false" customHeight="false" outlineLevel="0" collapsed="false">
      <c r="A167" s="9"/>
      <c r="B167" s="9"/>
      <c r="C167" s="10" t="str">
        <f aca="false">IF($B167="","",IFERROR(INDEX('Client Master'!$C:$C,MATCH($B167,'Client Master'!$B:$B,0)),"Code not found"))</f>
        <v/>
      </c>
      <c r="D167" s="9"/>
      <c r="E167" s="9"/>
      <c r="F167" s="9"/>
      <c r="G167" s="11"/>
      <c r="H167" s="11"/>
      <c r="I167" s="9"/>
      <c r="J167" s="12"/>
      <c r="K167" s="11"/>
      <c r="L167" s="9"/>
      <c r="N167" s="0" t="str">
        <f aca="false">IF(AND($J167&gt;0,$K167="",$A167&lt;&gt;""),SUMPRODUCT(($J$2:$J$600&gt;0)*($K$2:$K$600="")*($A$2:$A$600&lt;&gt;"")*((IF($G$2:$G$600="",99999999,$G$2:$G$600))&lt;IF($G167="",99999999,$G167)))+SUMPRODUCT(($J$2:$J167&gt;0)*($K$2:$K167="")*($A$2:$A167&lt;&gt;"")*((IF($G$2:$G167="",99999999,$G$2:$G167))=IF($G167="",99999999,$G167))),"")</f>
        <v/>
      </c>
      <c r="O167" s="0" t="str">
        <f aca="false">IF(AND($F167="Not Started",$A167&lt;&gt;""),SUMPRODUCT(($F$2:$F$600="Not Started")*($A$2:$A$600&lt;&gt;"")*((IF($G$2:$G$600="",99999999,$G$2:$G$600))&lt;IF($G167="",99999999,$G167)))+SUMPRODUCT(($F$2:$F167="Not Started")*($A$2:$A167&lt;&gt;"")*((IF($G$2:$G167="",99999999,$G$2:$G167))=IF($G167="",99999999,$G167))),"")</f>
        <v/>
      </c>
      <c r="P167" s="0" t="str">
        <f aca="false">IF(AND(OR($F167="In Progress",$F167="Pending Client Data",$F167="Under Review"),$A167&lt;&gt;""),SUMPRODUCT((($F$2:$F$600="In Progress")+($F$2:$F$600="Pending Client Data")+($F$2:$F$600="Under Review"))*($A$2:$A$600&lt;&gt;"")*((IF($G$2:$G$600="",99999999,$G$2:$G$600))&lt;IF($G167="",99999999,$G167)))+SUMPRODUCT((($F$2:$F167="In Progress")+($F$2:$F167="Pending Client Data")+($F$2:$F167="Under Review"))*($A$2:$A167&lt;&gt;"")*((IF($G$2:$G167="",99999999,$G$2:$G167))=IF($G167="",99999999,$G167))),"")</f>
        <v/>
      </c>
    </row>
    <row r="168" customFormat="false" ht="15" hidden="false" customHeight="false" outlineLevel="0" collapsed="false">
      <c r="A168" s="9"/>
      <c r="B168" s="9"/>
      <c r="C168" s="10" t="str">
        <f aca="false">IF($B168="","",IFERROR(INDEX('Client Master'!$C:$C,MATCH($B168,'Client Master'!$B:$B,0)),"Code not found"))</f>
        <v/>
      </c>
      <c r="D168" s="9"/>
      <c r="E168" s="9"/>
      <c r="F168" s="9"/>
      <c r="G168" s="11"/>
      <c r="H168" s="11"/>
      <c r="I168" s="9"/>
      <c r="J168" s="12"/>
      <c r="K168" s="11"/>
      <c r="L168" s="9"/>
      <c r="N168" s="0" t="str">
        <f aca="false">IF(AND($J168&gt;0,$K168="",$A168&lt;&gt;""),SUMPRODUCT(($J$2:$J$600&gt;0)*($K$2:$K$600="")*($A$2:$A$600&lt;&gt;"")*((IF($G$2:$G$600="",99999999,$G$2:$G$600))&lt;IF($G168="",99999999,$G168)))+SUMPRODUCT(($J$2:$J168&gt;0)*($K$2:$K168="")*($A$2:$A168&lt;&gt;"")*((IF($G$2:$G168="",99999999,$G$2:$G168))=IF($G168="",99999999,$G168))),"")</f>
        <v/>
      </c>
      <c r="O168" s="0" t="str">
        <f aca="false">IF(AND($F168="Not Started",$A168&lt;&gt;""),SUMPRODUCT(($F$2:$F$600="Not Started")*($A$2:$A$600&lt;&gt;"")*((IF($G$2:$G$600="",99999999,$G$2:$G$600))&lt;IF($G168="",99999999,$G168)))+SUMPRODUCT(($F$2:$F168="Not Started")*($A$2:$A168&lt;&gt;"")*((IF($G$2:$G168="",99999999,$G$2:$G168))=IF($G168="",99999999,$G168))),"")</f>
        <v/>
      </c>
      <c r="P168" s="0" t="str">
        <f aca="false">IF(AND(OR($F168="In Progress",$F168="Pending Client Data",$F168="Under Review"),$A168&lt;&gt;""),SUMPRODUCT((($F$2:$F$600="In Progress")+($F$2:$F$600="Pending Client Data")+($F$2:$F$600="Under Review"))*($A$2:$A$600&lt;&gt;"")*((IF($G$2:$G$600="",99999999,$G$2:$G$600))&lt;IF($G168="",99999999,$G168)))+SUMPRODUCT((($F$2:$F168="In Progress")+($F$2:$F168="Pending Client Data")+($F$2:$F168="Under Review"))*($A$2:$A168&lt;&gt;"")*((IF($G$2:$G168="",99999999,$G$2:$G168))=IF($G168="",99999999,$G168))),"")</f>
        <v/>
      </c>
    </row>
    <row r="169" customFormat="false" ht="15" hidden="false" customHeight="false" outlineLevel="0" collapsed="false">
      <c r="A169" s="9"/>
      <c r="B169" s="9"/>
      <c r="C169" s="10" t="str">
        <f aca="false">IF($B169="","",IFERROR(INDEX('Client Master'!$C:$C,MATCH($B169,'Client Master'!$B:$B,0)),"Code not found"))</f>
        <v/>
      </c>
      <c r="D169" s="9"/>
      <c r="E169" s="9"/>
      <c r="F169" s="9"/>
      <c r="G169" s="11"/>
      <c r="H169" s="11"/>
      <c r="I169" s="9"/>
      <c r="J169" s="12"/>
      <c r="K169" s="11"/>
      <c r="L169" s="9"/>
      <c r="N169" s="0" t="str">
        <f aca="false">IF(AND($J169&gt;0,$K169="",$A169&lt;&gt;""),SUMPRODUCT(($J$2:$J$600&gt;0)*($K$2:$K$600="")*($A$2:$A$600&lt;&gt;"")*((IF($G$2:$G$600="",99999999,$G$2:$G$600))&lt;IF($G169="",99999999,$G169)))+SUMPRODUCT(($J$2:$J169&gt;0)*($K$2:$K169="")*($A$2:$A169&lt;&gt;"")*((IF($G$2:$G169="",99999999,$G$2:$G169))=IF($G169="",99999999,$G169))),"")</f>
        <v/>
      </c>
      <c r="O169" s="0" t="str">
        <f aca="false">IF(AND($F169="Not Started",$A169&lt;&gt;""),SUMPRODUCT(($F$2:$F$600="Not Started")*($A$2:$A$600&lt;&gt;"")*((IF($G$2:$G$600="",99999999,$G$2:$G$600))&lt;IF($G169="",99999999,$G169)))+SUMPRODUCT(($F$2:$F169="Not Started")*($A$2:$A169&lt;&gt;"")*((IF($G$2:$G169="",99999999,$G$2:$G169))=IF($G169="",99999999,$G169))),"")</f>
        <v/>
      </c>
      <c r="P169" s="0" t="str">
        <f aca="false">IF(AND(OR($F169="In Progress",$F169="Pending Client Data",$F169="Under Review"),$A169&lt;&gt;""),SUMPRODUCT((($F$2:$F$600="In Progress")+($F$2:$F$600="Pending Client Data")+($F$2:$F$600="Under Review"))*($A$2:$A$600&lt;&gt;"")*((IF($G$2:$G$600="",99999999,$G$2:$G$600))&lt;IF($G169="",99999999,$G169)))+SUMPRODUCT((($F$2:$F169="In Progress")+($F$2:$F169="Pending Client Data")+($F$2:$F169="Under Review"))*($A$2:$A169&lt;&gt;"")*((IF($G$2:$G169="",99999999,$G$2:$G169))=IF($G169="",99999999,$G169))),"")</f>
        <v/>
      </c>
    </row>
    <row r="170" customFormat="false" ht="15" hidden="false" customHeight="false" outlineLevel="0" collapsed="false">
      <c r="A170" s="9"/>
      <c r="B170" s="9"/>
      <c r="C170" s="10" t="str">
        <f aca="false">IF($B170="","",IFERROR(INDEX('Client Master'!$C:$C,MATCH($B170,'Client Master'!$B:$B,0)),"Code not found"))</f>
        <v/>
      </c>
      <c r="D170" s="9"/>
      <c r="E170" s="9"/>
      <c r="F170" s="9"/>
      <c r="G170" s="11"/>
      <c r="H170" s="11"/>
      <c r="I170" s="9"/>
      <c r="J170" s="12"/>
      <c r="K170" s="11"/>
      <c r="L170" s="9"/>
      <c r="N170" s="0" t="str">
        <f aca="false">IF(AND($J170&gt;0,$K170="",$A170&lt;&gt;""),SUMPRODUCT(($J$2:$J$600&gt;0)*($K$2:$K$600="")*($A$2:$A$600&lt;&gt;"")*((IF($G$2:$G$600="",99999999,$G$2:$G$600))&lt;IF($G170="",99999999,$G170)))+SUMPRODUCT(($J$2:$J170&gt;0)*($K$2:$K170="")*($A$2:$A170&lt;&gt;"")*((IF($G$2:$G170="",99999999,$G$2:$G170))=IF($G170="",99999999,$G170))),"")</f>
        <v/>
      </c>
      <c r="O170" s="0" t="str">
        <f aca="false">IF(AND($F170="Not Started",$A170&lt;&gt;""),SUMPRODUCT(($F$2:$F$600="Not Started")*($A$2:$A$600&lt;&gt;"")*((IF($G$2:$G$600="",99999999,$G$2:$G$600))&lt;IF($G170="",99999999,$G170)))+SUMPRODUCT(($F$2:$F170="Not Started")*($A$2:$A170&lt;&gt;"")*((IF($G$2:$G170="",99999999,$G$2:$G170))=IF($G170="",99999999,$G170))),"")</f>
        <v/>
      </c>
      <c r="P170" s="0" t="str">
        <f aca="false">IF(AND(OR($F170="In Progress",$F170="Pending Client Data",$F170="Under Review"),$A170&lt;&gt;""),SUMPRODUCT((($F$2:$F$600="In Progress")+($F$2:$F$600="Pending Client Data")+($F$2:$F$600="Under Review"))*($A$2:$A$600&lt;&gt;"")*((IF($G$2:$G$600="",99999999,$G$2:$G$600))&lt;IF($G170="",99999999,$G170)))+SUMPRODUCT((($F$2:$F170="In Progress")+($F$2:$F170="Pending Client Data")+($F$2:$F170="Under Review"))*($A$2:$A170&lt;&gt;"")*((IF($G$2:$G170="",99999999,$G$2:$G170))=IF($G170="",99999999,$G170))),"")</f>
        <v/>
      </c>
    </row>
    <row r="171" customFormat="false" ht="15" hidden="false" customHeight="false" outlineLevel="0" collapsed="false">
      <c r="A171" s="9"/>
      <c r="B171" s="9"/>
      <c r="C171" s="10" t="str">
        <f aca="false">IF($B171="","",IFERROR(INDEX('Client Master'!$C:$C,MATCH($B171,'Client Master'!$B:$B,0)),"Code not found"))</f>
        <v/>
      </c>
      <c r="D171" s="9"/>
      <c r="E171" s="9"/>
      <c r="F171" s="9"/>
      <c r="G171" s="11"/>
      <c r="H171" s="11"/>
      <c r="I171" s="9"/>
      <c r="J171" s="12"/>
      <c r="K171" s="11"/>
      <c r="L171" s="9"/>
      <c r="N171" s="0" t="str">
        <f aca="false">IF(AND($J171&gt;0,$K171="",$A171&lt;&gt;""),SUMPRODUCT(($J$2:$J$600&gt;0)*($K$2:$K$600="")*($A$2:$A$600&lt;&gt;"")*((IF($G$2:$G$600="",99999999,$G$2:$G$600))&lt;IF($G171="",99999999,$G171)))+SUMPRODUCT(($J$2:$J171&gt;0)*($K$2:$K171="")*($A$2:$A171&lt;&gt;"")*((IF($G$2:$G171="",99999999,$G$2:$G171))=IF($G171="",99999999,$G171))),"")</f>
        <v/>
      </c>
      <c r="O171" s="0" t="str">
        <f aca="false">IF(AND($F171="Not Started",$A171&lt;&gt;""),SUMPRODUCT(($F$2:$F$600="Not Started")*($A$2:$A$600&lt;&gt;"")*((IF($G$2:$G$600="",99999999,$G$2:$G$600))&lt;IF($G171="",99999999,$G171)))+SUMPRODUCT(($F$2:$F171="Not Started")*($A$2:$A171&lt;&gt;"")*((IF($G$2:$G171="",99999999,$G$2:$G171))=IF($G171="",99999999,$G171))),"")</f>
        <v/>
      </c>
      <c r="P171" s="0" t="str">
        <f aca="false">IF(AND(OR($F171="In Progress",$F171="Pending Client Data",$F171="Under Review"),$A171&lt;&gt;""),SUMPRODUCT((($F$2:$F$600="In Progress")+($F$2:$F$600="Pending Client Data")+($F$2:$F$600="Under Review"))*($A$2:$A$600&lt;&gt;"")*((IF($G$2:$G$600="",99999999,$G$2:$G$600))&lt;IF($G171="",99999999,$G171)))+SUMPRODUCT((($F$2:$F171="In Progress")+($F$2:$F171="Pending Client Data")+($F$2:$F171="Under Review"))*($A$2:$A171&lt;&gt;"")*((IF($G$2:$G171="",99999999,$G$2:$G171))=IF($G171="",99999999,$G171))),"")</f>
        <v/>
      </c>
    </row>
    <row r="172" customFormat="false" ht="15" hidden="false" customHeight="false" outlineLevel="0" collapsed="false">
      <c r="A172" s="9"/>
      <c r="B172" s="9"/>
      <c r="C172" s="10" t="str">
        <f aca="false">IF($B172="","",IFERROR(INDEX('Client Master'!$C:$C,MATCH($B172,'Client Master'!$B:$B,0)),"Code not found"))</f>
        <v/>
      </c>
      <c r="D172" s="9"/>
      <c r="E172" s="9"/>
      <c r="F172" s="9"/>
      <c r="G172" s="11"/>
      <c r="H172" s="11"/>
      <c r="I172" s="9"/>
      <c r="J172" s="12"/>
      <c r="K172" s="11"/>
      <c r="L172" s="9"/>
      <c r="N172" s="0" t="str">
        <f aca="false">IF(AND($J172&gt;0,$K172="",$A172&lt;&gt;""),SUMPRODUCT(($J$2:$J$600&gt;0)*($K$2:$K$600="")*($A$2:$A$600&lt;&gt;"")*((IF($G$2:$G$600="",99999999,$G$2:$G$600))&lt;IF($G172="",99999999,$G172)))+SUMPRODUCT(($J$2:$J172&gt;0)*($K$2:$K172="")*($A$2:$A172&lt;&gt;"")*((IF($G$2:$G172="",99999999,$G$2:$G172))=IF($G172="",99999999,$G172))),"")</f>
        <v/>
      </c>
      <c r="O172" s="0" t="str">
        <f aca="false">IF(AND($F172="Not Started",$A172&lt;&gt;""),SUMPRODUCT(($F$2:$F$600="Not Started")*($A$2:$A$600&lt;&gt;"")*((IF($G$2:$G$600="",99999999,$G$2:$G$600))&lt;IF($G172="",99999999,$G172)))+SUMPRODUCT(($F$2:$F172="Not Started")*($A$2:$A172&lt;&gt;"")*((IF($G$2:$G172="",99999999,$G$2:$G172))=IF($G172="",99999999,$G172))),"")</f>
        <v/>
      </c>
      <c r="P172" s="0" t="str">
        <f aca="false">IF(AND(OR($F172="In Progress",$F172="Pending Client Data",$F172="Under Review"),$A172&lt;&gt;""),SUMPRODUCT((($F$2:$F$600="In Progress")+($F$2:$F$600="Pending Client Data")+($F$2:$F$600="Under Review"))*($A$2:$A$600&lt;&gt;"")*((IF($G$2:$G$600="",99999999,$G$2:$G$600))&lt;IF($G172="",99999999,$G172)))+SUMPRODUCT((($F$2:$F172="In Progress")+($F$2:$F172="Pending Client Data")+($F$2:$F172="Under Review"))*($A$2:$A172&lt;&gt;"")*((IF($G$2:$G172="",99999999,$G$2:$G172))=IF($G172="",99999999,$G172))),"")</f>
        <v/>
      </c>
    </row>
    <row r="173" customFormat="false" ht="15" hidden="false" customHeight="false" outlineLevel="0" collapsed="false">
      <c r="A173" s="9"/>
      <c r="B173" s="9"/>
      <c r="C173" s="10" t="str">
        <f aca="false">IF($B173="","",IFERROR(INDEX('Client Master'!$C:$C,MATCH($B173,'Client Master'!$B:$B,0)),"Code not found"))</f>
        <v/>
      </c>
      <c r="D173" s="9"/>
      <c r="E173" s="9"/>
      <c r="F173" s="9"/>
      <c r="G173" s="11"/>
      <c r="H173" s="11"/>
      <c r="I173" s="9"/>
      <c r="J173" s="12"/>
      <c r="K173" s="11"/>
      <c r="L173" s="9"/>
      <c r="N173" s="0" t="str">
        <f aca="false">IF(AND($J173&gt;0,$K173="",$A173&lt;&gt;""),SUMPRODUCT(($J$2:$J$600&gt;0)*($K$2:$K$600="")*($A$2:$A$600&lt;&gt;"")*((IF($G$2:$G$600="",99999999,$G$2:$G$600))&lt;IF($G173="",99999999,$G173)))+SUMPRODUCT(($J$2:$J173&gt;0)*($K$2:$K173="")*($A$2:$A173&lt;&gt;"")*((IF($G$2:$G173="",99999999,$G$2:$G173))=IF($G173="",99999999,$G173))),"")</f>
        <v/>
      </c>
      <c r="O173" s="0" t="str">
        <f aca="false">IF(AND($F173="Not Started",$A173&lt;&gt;""),SUMPRODUCT(($F$2:$F$600="Not Started")*($A$2:$A$600&lt;&gt;"")*((IF($G$2:$G$600="",99999999,$G$2:$G$600))&lt;IF($G173="",99999999,$G173)))+SUMPRODUCT(($F$2:$F173="Not Started")*($A$2:$A173&lt;&gt;"")*((IF($G$2:$G173="",99999999,$G$2:$G173))=IF($G173="",99999999,$G173))),"")</f>
        <v/>
      </c>
      <c r="P173" s="0" t="str">
        <f aca="false">IF(AND(OR($F173="In Progress",$F173="Pending Client Data",$F173="Under Review"),$A173&lt;&gt;""),SUMPRODUCT((($F$2:$F$600="In Progress")+($F$2:$F$600="Pending Client Data")+($F$2:$F$600="Under Review"))*($A$2:$A$600&lt;&gt;"")*((IF($G$2:$G$600="",99999999,$G$2:$G$600))&lt;IF($G173="",99999999,$G173)))+SUMPRODUCT((($F$2:$F173="In Progress")+($F$2:$F173="Pending Client Data")+($F$2:$F173="Under Review"))*($A$2:$A173&lt;&gt;"")*((IF($G$2:$G173="",99999999,$G$2:$G173))=IF($G173="",99999999,$G173))),"")</f>
        <v/>
      </c>
    </row>
    <row r="174" customFormat="false" ht="15" hidden="false" customHeight="false" outlineLevel="0" collapsed="false">
      <c r="A174" s="9"/>
      <c r="B174" s="9"/>
      <c r="C174" s="10" t="str">
        <f aca="false">IF($B174="","",IFERROR(INDEX('Client Master'!$C:$C,MATCH($B174,'Client Master'!$B:$B,0)),"Code not found"))</f>
        <v/>
      </c>
      <c r="D174" s="9"/>
      <c r="E174" s="9"/>
      <c r="F174" s="9"/>
      <c r="G174" s="11"/>
      <c r="H174" s="11"/>
      <c r="I174" s="9"/>
      <c r="J174" s="12"/>
      <c r="K174" s="11"/>
      <c r="L174" s="9"/>
      <c r="N174" s="0" t="str">
        <f aca="false">IF(AND($J174&gt;0,$K174="",$A174&lt;&gt;""),SUMPRODUCT(($J$2:$J$600&gt;0)*($K$2:$K$600="")*($A$2:$A$600&lt;&gt;"")*((IF($G$2:$G$600="",99999999,$G$2:$G$600))&lt;IF($G174="",99999999,$G174)))+SUMPRODUCT(($J$2:$J174&gt;0)*($K$2:$K174="")*($A$2:$A174&lt;&gt;"")*((IF($G$2:$G174="",99999999,$G$2:$G174))=IF($G174="",99999999,$G174))),"")</f>
        <v/>
      </c>
      <c r="O174" s="0" t="str">
        <f aca="false">IF(AND($F174="Not Started",$A174&lt;&gt;""),SUMPRODUCT(($F$2:$F$600="Not Started")*($A$2:$A$600&lt;&gt;"")*((IF($G$2:$G$600="",99999999,$G$2:$G$600))&lt;IF($G174="",99999999,$G174)))+SUMPRODUCT(($F$2:$F174="Not Started")*($A$2:$A174&lt;&gt;"")*((IF($G$2:$G174="",99999999,$G$2:$G174))=IF($G174="",99999999,$G174))),"")</f>
        <v/>
      </c>
      <c r="P174" s="0" t="str">
        <f aca="false">IF(AND(OR($F174="In Progress",$F174="Pending Client Data",$F174="Under Review"),$A174&lt;&gt;""),SUMPRODUCT((($F$2:$F$600="In Progress")+($F$2:$F$600="Pending Client Data")+($F$2:$F$600="Under Review"))*($A$2:$A$600&lt;&gt;"")*((IF($G$2:$G$600="",99999999,$G$2:$G$600))&lt;IF($G174="",99999999,$G174)))+SUMPRODUCT((($F$2:$F174="In Progress")+($F$2:$F174="Pending Client Data")+($F$2:$F174="Under Review"))*($A$2:$A174&lt;&gt;"")*((IF($G$2:$G174="",99999999,$G$2:$G174))=IF($G174="",99999999,$G174))),"")</f>
        <v/>
      </c>
    </row>
    <row r="175" customFormat="false" ht="15" hidden="false" customHeight="false" outlineLevel="0" collapsed="false">
      <c r="A175" s="9"/>
      <c r="B175" s="9"/>
      <c r="C175" s="10" t="str">
        <f aca="false">IF($B175="","",IFERROR(INDEX('Client Master'!$C:$C,MATCH($B175,'Client Master'!$B:$B,0)),"Code not found"))</f>
        <v/>
      </c>
      <c r="D175" s="9"/>
      <c r="E175" s="9"/>
      <c r="F175" s="9"/>
      <c r="G175" s="11"/>
      <c r="H175" s="11"/>
      <c r="I175" s="9"/>
      <c r="J175" s="12"/>
      <c r="K175" s="11"/>
      <c r="L175" s="9"/>
      <c r="N175" s="0" t="str">
        <f aca="false">IF(AND($J175&gt;0,$K175="",$A175&lt;&gt;""),SUMPRODUCT(($J$2:$J$600&gt;0)*($K$2:$K$600="")*($A$2:$A$600&lt;&gt;"")*((IF($G$2:$G$600="",99999999,$G$2:$G$600))&lt;IF($G175="",99999999,$G175)))+SUMPRODUCT(($J$2:$J175&gt;0)*($K$2:$K175="")*($A$2:$A175&lt;&gt;"")*((IF($G$2:$G175="",99999999,$G$2:$G175))=IF($G175="",99999999,$G175))),"")</f>
        <v/>
      </c>
      <c r="O175" s="0" t="str">
        <f aca="false">IF(AND($F175="Not Started",$A175&lt;&gt;""),SUMPRODUCT(($F$2:$F$600="Not Started")*($A$2:$A$600&lt;&gt;"")*((IF($G$2:$G$600="",99999999,$G$2:$G$600))&lt;IF($G175="",99999999,$G175)))+SUMPRODUCT(($F$2:$F175="Not Started")*($A$2:$A175&lt;&gt;"")*((IF($G$2:$G175="",99999999,$G$2:$G175))=IF($G175="",99999999,$G175))),"")</f>
        <v/>
      </c>
      <c r="P175" s="0" t="str">
        <f aca="false">IF(AND(OR($F175="In Progress",$F175="Pending Client Data",$F175="Under Review"),$A175&lt;&gt;""),SUMPRODUCT((($F$2:$F$600="In Progress")+($F$2:$F$600="Pending Client Data")+($F$2:$F$600="Under Review"))*($A$2:$A$600&lt;&gt;"")*((IF($G$2:$G$600="",99999999,$G$2:$G$600))&lt;IF($G175="",99999999,$G175)))+SUMPRODUCT((($F$2:$F175="In Progress")+($F$2:$F175="Pending Client Data")+($F$2:$F175="Under Review"))*($A$2:$A175&lt;&gt;"")*((IF($G$2:$G175="",99999999,$G$2:$G175))=IF($G175="",99999999,$G175))),"")</f>
        <v/>
      </c>
    </row>
    <row r="176" customFormat="false" ht="15" hidden="false" customHeight="false" outlineLevel="0" collapsed="false">
      <c r="A176" s="9"/>
      <c r="B176" s="9"/>
      <c r="C176" s="10" t="str">
        <f aca="false">IF($B176="","",IFERROR(INDEX('Client Master'!$C:$C,MATCH($B176,'Client Master'!$B:$B,0)),"Code not found"))</f>
        <v/>
      </c>
      <c r="D176" s="9"/>
      <c r="E176" s="9"/>
      <c r="F176" s="9"/>
      <c r="G176" s="11"/>
      <c r="H176" s="11"/>
      <c r="I176" s="9"/>
      <c r="J176" s="12"/>
      <c r="K176" s="11"/>
      <c r="L176" s="9"/>
      <c r="N176" s="0" t="str">
        <f aca="false">IF(AND($J176&gt;0,$K176="",$A176&lt;&gt;""),SUMPRODUCT(($J$2:$J$600&gt;0)*($K$2:$K$600="")*($A$2:$A$600&lt;&gt;"")*((IF($G$2:$G$600="",99999999,$G$2:$G$600))&lt;IF($G176="",99999999,$G176)))+SUMPRODUCT(($J$2:$J176&gt;0)*($K$2:$K176="")*($A$2:$A176&lt;&gt;"")*((IF($G$2:$G176="",99999999,$G$2:$G176))=IF($G176="",99999999,$G176))),"")</f>
        <v/>
      </c>
      <c r="O176" s="0" t="str">
        <f aca="false">IF(AND($F176="Not Started",$A176&lt;&gt;""),SUMPRODUCT(($F$2:$F$600="Not Started")*($A$2:$A$600&lt;&gt;"")*((IF($G$2:$G$600="",99999999,$G$2:$G$600))&lt;IF($G176="",99999999,$G176)))+SUMPRODUCT(($F$2:$F176="Not Started")*($A$2:$A176&lt;&gt;"")*((IF($G$2:$G176="",99999999,$G$2:$G176))=IF($G176="",99999999,$G176))),"")</f>
        <v/>
      </c>
      <c r="P176" s="0" t="str">
        <f aca="false">IF(AND(OR($F176="In Progress",$F176="Pending Client Data",$F176="Under Review"),$A176&lt;&gt;""),SUMPRODUCT((($F$2:$F$600="In Progress")+($F$2:$F$600="Pending Client Data")+($F$2:$F$600="Under Review"))*($A$2:$A$600&lt;&gt;"")*((IF($G$2:$G$600="",99999999,$G$2:$G$600))&lt;IF($G176="",99999999,$G176)))+SUMPRODUCT((($F$2:$F176="In Progress")+($F$2:$F176="Pending Client Data")+($F$2:$F176="Under Review"))*($A$2:$A176&lt;&gt;"")*((IF($G$2:$G176="",99999999,$G$2:$G176))=IF($G176="",99999999,$G176))),"")</f>
        <v/>
      </c>
    </row>
    <row r="177" customFormat="false" ht="15" hidden="false" customHeight="false" outlineLevel="0" collapsed="false">
      <c r="A177" s="9"/>
      <c r="B177" s="9"/>
      <c r="C177" s="10" t="str">
        <f aca="false">IF($B177="","",IFERROR(INDEX('Client Master'!$C:$C,MATCH($B177,'Client Master'!$B:$B,0)),"Code not found"))</f>
        <v/>
      </c>
      <c r="D177" s="9"/>
      <c r="E177" s="9"/>
      <c r="F177" s="9"/>
      <c r="G177" s="11"/>
      <c r="H177" s="11"/>
      <c r="I177" s="9"/>
      <c r="J177" s="12"/>
      <c r="K177" s="11"/>
      <c r="L177" s="9"/>
      <c r="N177" s="0" t="str">
        <f aca="false">IF(AND($J177&gt;0,$K177="",$A177&lt;&gt;""),SUMPRODUCT(($J$2:$J$600&gt;0)*($K$2:$K$600="")*($A$2:$A$600&lt;&gt;"")*((IF($G$2:$G$600="",99999999,$G$2:$G$600))&lt;IF($G177="",99999999,$G177)))+SUMPRODUCT(($J$2:$J177&gt;0)*($K$2:$K177="")*($A$2:$A177&lt;&gt;"")*((IF($G$2:$G177="",99999999,$G$2:$G177))=IF($G177="",99999999,$G177))),"")</f>
        <v/>
      </c>
      <c r="O177" s="0" t="str">
        <f aca="false">IF(AND($F177="Not Started",$A177&lt;&gt;""),SUMPRODUCT(($F$2:$F$600="Not Started")*($A$2:$A$600&lt;&gt;"")*((IF($G$2:$G$600="",99999999,$G$2:$G$600))&lt;IF($G177="",99999999,$G177)))+SUMPRODUCT(($F$2:$F177="Not Started")*($A$2:$A177&lt;&gt;"")*((IF($G$2:$G177="",99999999,$G$2:$G177))=IF($G177="",99999999,$G177))),"")</f>
        <v/>
      </c>
      <c r="P177" s="0" t="str">
        <f aca="false">IF(AND(OR($F177="In Progress",$F177="Pending Client Data",$F177="Under Review"),$A177&lt;&gt;""),SUMPRODUCT((($F$2:$F$600="In Progress")+($F$2:$F$600="Pending Client Data")+($F$2:$F$600="Under Review"))*($A$2:$A$600&lt;&gt;"")*((IF($G$2:$G$600="",99999999,$G$2:$G$600))&lt;IF($G177="",99999999,$G177)))+SUMPRODUCT((($F$2:$F177="In Progress")+($F$2:$F177="Pending Client Data")+($F$2:$F177="Under Review"))*($A$2:$A177&lt;&gt;"")*((IF($G$2:$G177="",99999999,$G$2:$G177))=IF($G177="",99999999,$G177))),"")</f>
        <v/>
      </c>
    </row>
    <row r="178" customFormat="false" ht="15" hidden="false" customHeight="false" outlineLevel="0" collapsed="false">
      <c r="A178" s="9"/>
      <c r="B178" s="9"/>
      <c r="C178" s="10" t="str">
        <f aca="false">IF($B178="","",IFERROR(INDEX('Client Master'!$C:$C,MATCH($B178,'Client Master'!$B:$B,0)),"Code not found"))</f>
        <v/>
      </c>
      <c r="D178" s="9"/>
      <c r="E178" s="9"/>
      <c r="F178" s="9"/>
      <c r="G178" s="11"/>
      <c r="H178" s="11"/>
      <c r="I178" s="9"/>
      <c r="J178" s="12"/>
      <c r="K178" s="11"/>
      <c r="L178" s="9"/>
      <c r="N178" s="0" t="str">
        <f aca="false">IF(AND($J178&gt;0,$K178="",$A178&lt;&gt;""),SUMPRODUCT(($J$2:$J$600&gt;0)*($K$2:$K$600="")*($A$2:$A$600&lt;&gt;"")*((IF($G$2:$G$600="",99999999,$G$2:$G$600))&lt;IF($G178="",99999999,$G178)))+SUMPRODUCT(($J$2:$J178&gt;0)*($K$2:$K178="")*($A$2:$A178&lt;&gt;"")*((IF($G$2:$G178="",99999999,$G$2:$G178))=IF($G178="",99999999,$G178))),"")</f>
        <v/>
      </c>
      <c r="O178" s="0" t="str">
        <f aca="false">IF(AND($F178="Not Started",$A178&lt;&gt;""),SUMPRODUCT(($F$2:$F$600="Not Started")*($A$2:$A$600&lt;&gt;"")*((IF($G$2:$G$600="",99999999,$G$2:$G$600))&lt;IF($G178="",99999999,$G178)))+SUMPRODUCT(($F$2:$F178="Not Started")*($A$2:$A178&lt;&gt;"")*((IF($G$2:$G178="",99999999,$G$2:$G178))=IF($G178="",99999999,$G178))),"")</f>
        <v/>
      </c>
      <c r="P178" s="0" t="str">
        <f aca="false">IF(AND(OR($F178="In Progress",$F178="Pending Client Data",$F178="Under Review"),$A178&lt;&gt;""),SUMPRODUCT((($F$2:$F$600="In Progress")+($F$2:$F$600="Pending Client Data")+($F$2:$F$600="Under Review"))*($A$2:$A$600&lt;&gt;"")*((IF($G$2:$G$600="",99999999,$G$2:$G$600))&lt;IF($G178="",99999999,$G178)))+SUMPRODUCT((($F$2:$F178="In Progress")+($F$2:$F178="Pending Client Data")+($F$2:$F178="Under Review"))*($A$2:$A178&lt;&gt;"")*((IF($G$2:$G178="",99999999,$G$2:$G178))=IF($G178="",99999999,$G178))),"")</f>
        <v/>
      </c>
    </row>
    <row r="179" customFormat="false" ht="15" hidden="false" customHeight="false" outlineLevel="0" collapsed="false">
      <c r="A179" s="9"/>
      <c r="B179" s="9"/>
      <c r="C179" s="10" t="str">
        <f aca="false">IF($B179="","",IFERROR(INDEX('Client Master'!$C:$C,MATCH($B179,'Client Master'!$B:$B,0)),"Code not found"))</f>
        <v/>
      </c>
      <c r="D179" s="9"/>
      <c r="E179" s="9"/>
      <c r="F179" s="9"/>
      <c r="G179" s="11"/>
      <c r="H179" s="11"/>
      <c r="I179" s="9"/>
      <c r="J179" s="12"/>
      <c r="K179" s="11"/>
      <c r="L179" s="9"/>
      <c r="N179" s="0" t="str">
        <f aca="false">IF(AND($J179&gt;0,$K179="",$A179&lt;&gt;""),SUMPRODUCT(($J$2:$J$600&gt;0)*($K$2:$K$600="")*($A$2:$A$600&lt;&gt;"")*((IF($G$2:$G$600="",99999999,$G$2:$G$600))&lt;IF($G179="",99999999,$G179)))+SUMPRODUCT(($J$2:$J179&gt;0)*($K$2:$K179="")*($A$2:$A179&lt;&gt;"")*((IF($G$2:$G179="",99999999,$G$2:$G179))=IF($G179="",99999999,$G179))),"")</f>
        <v/>
      </c>
      <c r="O179" s="0" t="str">
        <f aca="false">IF(AND($F179="Not Started",$A179&lt;&gt;""),SUMPRODUCT(($F$2:$F$600="Not Started")*($A$2:$A$600&lt;&gt;"")*((IF($G$2:$G$600="",99999999,$G$2:$G$600))&lt;IF($G179="",99999999,$G179)))+SUMPRODUCT(($F$2:$F179="Not Started")*($A$2:$A179&lt;&gt;"")*((IF($G$2:$G179="",99999999,$G$2:$G179))=IF($G179="",99999999,$G179))),"")</f>
        <v/>
      </c>
      <c r="P179" s="0" t="str">
        <f aca="false">IF(AND(OR($F179="In Progress",$F179="Pending Client Data",$F179="Under Review"),$A179&lt;&gt;""),SUMPRODUCT((($F$2:$F$600="In Progress")+($F$2:$F$600="Pending Client Data")+($F$2:$F$600="Under Review"))*($A$2:$A$600&lt;&gt;"")*((IF($G$2:$G$600="",99999999,$G$2:$G$600))&lt;IF($G179="",99999999,$G179)))+SUMPRODUCT((($F$2:$F179="In Progress")+($F$2:$F179="Pending Client Data")+($F$2:$F179="Under Review"))*($A$2:$A179&lt;&gt;"")*((IF($G$2:$G179="",99999999,$G$2:$G179))=IF($G179="",99999999,$G179))),"")</f>
        <v/>
      </c>
    </row>
    <row r="180" customFormat="false" ht="15" hidden="false" customHeight="false" outlineLevel="0" collapsed="false">
      <c r="A180" s="9"/>
      <c r="B180" s="9"/>
      <c r="C180" s="10" t="str">
        <f aca="false">IF($B180="","",IFERROR(INDEX('Client Master'!$C:$C,MATCH($B180,'Client Master'!$B:$B,0)),"Code not found"))</f>
        <v/>
      </c>
      <c r="D180" s="9"/>
      <c r="E180" s="9"/>
      <c r="F180" s="9"/>
      <c r="G180" s="11"/>
      <c r="H180" s="11"/>
      <c r="I180" s="9"/>
      <c r="J180" s="12"/>
      <c r="K180" s="11"/>
      <c r="L180" s="9"/>
      <c r="N180" s="0" t="str">
        <f aca="false">IF(AND($J180&gt;0,$K180="",$A180&lt;&gt;""),SUMPRODUCT(($J$2:$J$600&gt;0)*($K$2:$K$600="")*($A$2:$A$600&lt;&gt;"")*((IF($G$2:$G$600="",99999999,$G$2:$G$600))&lt;IF($G180="",99999999,$G180)))+SUMPRODUCT(($J$2:$J180&gt;0)*($K$2:$K180="")*($A$2:$A180&lt;&gt;"")*((IF($G$2:$G180="",99999999,$G$2:$G180))=IF($G180="",99999999,$G180))),"")</f>
        <v/>
      </c>
      <c r="O180" s="0" t="str">
        <f aca="false">IF(AND($F180="Not Started",$A180&lt;&gt;""),SUMPRODUCT(($F$2:$F$600="Not Started")*($A$2:$A$600&lt;&gt;"")*((IF($G$2:$G$600="",99999999,$G$2:$G$600))&lt;IF($G180="",99999999,$G180)))+SUMPRODUCT(($F$2:$F180="Not Started")*($A$2:$A180&lt;&gt;"")*((IF($G$2:$G180="",99999999,$G$2:$G180))=IF($G180="",99999999,$G180))),"")</f>
        <v/>
      </c>
      <c r="P180" s="0" t="str">
        <f aca="false">IF(AND(OR($F180="In Progress",$F180="Pending Client Data",$F180="Under Review"),$A180&lt;&gt;""),SUMPRODUCT((($F$2:$F$600="In Progress")+($F$2:$F$600="Pending Client Data")+($F$2:$F$600="Under Review"))*($A$2:$A$600&lt;&gt;"")*((IF($G$2:$G$600="",99999999,$G$2:$G$600))&lt;IF($G180="",99999999,$G180)))+SUMPRODUCT((($F$2:$F180="In Progress")+($F$2:$F180="Pending Client Data")+($F$2:$F180="Under Review"))*($A$2:$A180&lt;&gt;"")*((IF($G$2:$G180="",99999999,$G$2:$G180))=IF($G180="",99999999,$G180))),"")</f>
        <v/>
      </c>
    </row>
    <row r="181" customFormat="false" ht="15" hidden="false" customHeight="false" outlineLevel="0" collapsed="false">
      <c r="A181" s="9"/>
      <c r="B181" s="9"/>
      <c r="C181" s="10" t="str">
        <f aca="false">IF($B181="","",IFERROR(INDEX('Client Master'!$C:$C,MATCH($B181,'Client Master'!$B:$B,0)),"Code not found"))</f>
        <v/>
      </c>
      <c r="D181" s="9"/>
      <c r="E181" s="9"/>
      <c r="F181" s="9"/>
      <c r="G181" s="11"/>
      <c r="H181" s="11"/>
      <c r="I181" s="9"/>
      <c r="J181" s="12"/>
      <c r="K181" s="11"/>
      <c r="L181" s="9"/>
      <c r="N181" s="0" t="str">
        <f aca="false">IF(AND($J181&gt;0,$K181="",$A181&lt;&gt;""),SUMPRODUCT(($J$2:$J$600&gt;0)*($K$2:$K$600="")*($A$2:$A$600&lt;&gt;"")*((IF($G$2:$G$600="",99999999,$G$2:$G$600))&lt;IF($G181="",99999999,$G181)))+SUMPRODUCT(($J$2:$J181&gt;0)*($K$2:$K181="")*($A$2:$A181&lt;&gt;"")*((IF($G$2:$G181="",99999999,$G$2:$G181))=IF($G181="",99999999,$G181))),"")</f>
        <v/>
      </c>
      <c r="O181" s="0" t="str">
        <f aca="false">IF(AND($F181="Not Started",$A181&lt;&gt;""),SUMPRODUCT(($F$2:$F$600="Not Started")*($A$2:$A$600&lt;&gt;"")*((IF($G$2:$G$600="",99999999,$G$2:$G$600))&lt;IF($G181="",99999999,$G181)))+SUMPRODUCT(($F$2:$F181="Not Started")*($A$2:$A181&lt;&gt;"")*((IF($G$2:$G181="",99999999,$G$2:$G181))=IF($G181="",99999999,$G181))),"")</f>
        <v/>
      </c>
      <c r="P181" s="0" t="str">
        <f aca="false">IF(AND(OR($F181="In Progress",$F181="Pending Client Data",$F181="Under Review"),$A181&lt;&gt;""),SUMPRODUCT((($F$2:$F$600="In Progress")+($F$2:$F$600="Pending Client Data")+($F$2:$F$600="Under Review"))*($A$2:$A$600&lt;&gt;"")*((IF($G$2:$G$600="",99999999,$G$2:$G$600))&lt;IF($G181="",99999999,$G181)))+SUMPRODUCT((($F$2:$F181="In Progress")+($F$2:$F181="Pending Client Data")+($F$2:$F181="Under Review"))*($A$2:$A181&lt;&gt;"")*((IF($G$2:$G181="",99999999,$G$2:$G181))=IF($G181="",99999999,$G181))),"")</f>
        <v/>
      </c>
    </row>
    <row r="182" customFormat="false" ht="15" hidden="false" customHeight="false" outlineLevel="0" collapsed="false">
      <c r="A182" s="9"/>
      <c r="B182" s="9"/>
      <c r="C182" s="10" t="str">
        <f aca="false">IF($B182="","",IFERROR(INDEX('Client Master'!$C:$C,MATCH($B182,'Client Master'!$B:$B,0)),"Code not found"))</f>
        <v/>
      </c>
      <c r="D182" s="9"/>
      <c r="E182" s="9"/>
      <c r="F182" s="9"/>
      <c r="G182" s="11"/>
      <c r="H182" s="11"/>
      <c r="I182" s="9"/>
      <c r="J182" s="12"/>
      <c r="K182" s="11"/>
      <c r="L182" s="9"/>
      <c r="N182" s="0" t="str">
        <f aca="false">IF(AND($J182&gt;0,$K182="",$A182&lt;&gt;""),SUMPRODUCT(($J$2:$J$600&gt;0)*($K$2:$K$600="")*($A$2:$A$600&lt;&gt;"")*((IF($G$2:$G$600="",99999999,$G$2:$G$600))&lt;IF($G182="",99999999,$G182)))+SUMPRODUCT(($J$2:$J182&gt;0)*($K$2:$K182="")*($A$2:$A182&lt;&gt;"")*((IF($G$2:$G182="",99999999,$G$2:$G182))=IF($G182="",99999999,$G182))),"")</f>
        <v/>
      </c>
      <c r="O182" s="0" t="str">
        <f aca="false">IF(AND($F182="Not Started",$A182&lt;&gt;""),SUMPRODUCT(($F$2:$F$600="Not Started")*($A$2:$A$600&lt;&gt;"")*((IF($G$2:$G$600="",99999999,$G$2:$G$600))&lt;IF($G182="",99999999,$G182)))+SUMPRODUCT(($F$2:$F182="Not Started")*($A$2:$A182&lt;&gt;"")*((IF($G$2:$G182="",99999999,$G$2:$G182))=IF($G182="",99999999,$G182))),"")</f>
        <v/>
      </c>
      <c r="P182" s="0" t="str">
        <f aca="false">IF(AND(OR($F182="In Progress",$F182="Pending Client Data",$F182="Under Review"),$A182&lt;&gt;""),SUMPRODUCT((($F$2:$F$600="In Progress")+($F$2:$F$600="Pending Client Data")+($F$2:$F$600="Under Review"))*($A$2:$A$600&lt;&gt;"")*((IF($G$2:$G$600="",99999999,$G$2:$G$600))&lt;IF($G182="",99999999,$G182)))+SUMPRODUCT((($F$2:$F182="In Progress")+($F$2:$F182="Pending Client Data")+($F$2:$F182="Under Review"))*($A$2:$A182&lt;&gt;"")*((IF($G$2:$G182="",99999999,$G$2:$G182))=IF($G182="",99999999,$G182))),"")</f>
        <v/>
      </c>
    </row>
    <row r="183" customFormat="false" ht="15" hidden="false" customHeight="false" outlineLevel="0" collapsed="false">
      <c r="A183" s="9"/>
      <c r="B183" s="9"/>
      <c r="C183" s="10" t="str">
        <f aca="false">IF($B183="","",IFERROR(INDEX('Client Master'!$C:$C,MATCH($B183,'Client Master'!$B:$B,0)),"Code not found"))</f>
        <v/>
      </c>
      <c r="D183" s="9"/>
      <c r="E183" s="9"/>
      <c r="F183" s="9"/>
      <c r="G183" s="11"/>
      <c r="H183" s="11"/>
      <c r="I183" s="9"/>
      <c r="J183" s="12"/>
      <c r="K183" s="11"/>
      <c r="L183" s="9"/>
      <c r="N183" s="0" t="str">
        <f aca="false">IF(AND($J183&gt;0,$K183="",$A183&lt;&gt;""),SUMPRODUCT(($J$2:$J$600&gt;0)*($K$2:$K$600="")*($A$2:$A$600&lt;&gt;"")*((IF($G$2:$G$600="",99999999,$G$2:$G$600))&lt;IF($G183="",99999999,$G183)))+SUMPRODUCT(($J$2:$J183&gt;0)*($K$2:$K183="")*($A$2:$A183&lt;&gt;"")*((IF($G$2:$G183="",99999999,$G$2:$G183))=IF($G183="",99999999,$G183))),"")</f>
        <v/>
      </c>
      <c r="O183" s="0" t="str">
        <f aca="false">IF(AND($F183="Not Started",$A183&lt;&gt;""),SUMPRODUCT(($F$2:$F$600="Not Started")*($A$2:$A$600&lt;&gt;"")*((IF($G$2:$G$600="",99999999,$G$2:$G$600))&lt;IF($G183="",99999999,$G183)))+SUMPRODUCT(($F$2:$F183="Not Started")*($A$2:$A183&lt;&gt;"")*((IF($G$2:$G183="",99999999,$G$2:$G183))=IF($G183="",99999999,$G183))),"")</f>
        <v/>
      </c>
      <c r="P183" s="0" t="str">
        <f aca="false">IF(AND(OR($F183="In Progress",$F183="Pending Client Data",$F183="Under Review"),$A183&lt;&gt;""),SUMPRODUCT((($F$2:$F$600="In Progress")+($F$2:$F$600="Pending Client Data")+($F$2:$F$600="Under Review"))*($A$2:$A$600&lt;&gt;"")*((IF($G$2:$G$600="",99999999,$G$2:$G$600))&lt;IF($G183="",99999999,$G183)))+SUMPRODUCT((($F$2:$F183="In Progress")+($F$2:$F183="Pending Client Data")+($F$2:$F183="Under Review"))*($A$2:$A183&lt;&gt;"")*((IF($G$2:$G183="",99999999,$G$2:$G183))=IF($G183="",99999999,$G183))),"")</f>
        <v/>
      </c>
    </row>
    <row r="184" customFormat="false" ht="15" hidden="false" customHeight="false" outlineLevel="0" collapsed="false">
      <c r="A184" s="9"/>
      <c r="B184" s="9"/>
      <c r="C184" s="10" t="str">
        <f aca="false">IF($B184="","",IFERROR(INDEX('Client Master'!$C:$C,MATCH($B184,'Client Master'!$B:$B,0)),"Code not found"))</f>
        <v/>
      </c>
      <c r="D184" s="9"/>
      <c r="E184" s="9"/>
      <c r="F184" s="9"/>
      <c r="G184" s="11"/>
      <c r="H184" s="11"/>
      <c r="I184" s="9"/>
      <c r="J184" s="12"/>
      <c r="K184" s="11"/>
      <c r="L184" s="9"/>
      <c r="N184" s="0" t="str">
        <f aca="false">IF(AND($J184&gt;0,$K184="",$A184&lt;&gt;""),SUMPRODUCT(($J$2:$J$600&gt;0)*($K$2:$K$600="")*($A$2:$A$600&lt;&gt;"")*((IF($G$2:$G$600="",99999999,$G$2:$G$600))&lt;IF($G184="",99999999,$G184)))+SUMPRODUCT(($J$2:$J184&gt;0)*($K$2:$K184="")*($A$2:$A184&lt;&gt;"")*((IF($G$2:$G184="",99999999,$G$2:$G184))=IF($G184="",99999999,$G184))),"")</f>
        <v/>
      </c>
      <c r="O184" s="0" t="str">
        <f aca="false">IF(AND($F184="Not Started",$A184&lt;&gt;""),SUMPRODUCT(($F$2:$F$600="Not Started")*($A$2:$A$600&lt;&gt;"")*((IF($G$2:$G$600="",99999999,$G$2:$G$600))&lt;IF($G184="",99999999,$G184)))+SUMPRODUCT(($F$2:$F184="Not Started")*($A$2:$A184&lt;&gt;"")*((IF($G$2:$G184="",99999999,$G$2:$G184))=IF($G184="",99999999,$G184))),"")</f>
        <v/>
      </c>
      <c r="P184" s="0" t="str">
        <f aca="false">IF(AND(OR($F184="In Progress",$F184="Pending Client Data",$F184="Under Review"),$A184&lt;&gt;""),SUMPRODUCT((($F$2:$F$600="In Progress")+($F$2:$F$600="Pending Client Data")+($F$2:$F$600="Under Review"))*($A$2:$A$600&lt;&gt;"")*((IF($G$2:$G$600="",99999999,$G$2:$G$600))&lt;IF($G184="",99999999,$G184)))+SUMPRODUCT((($F$2:$F184="In Progress")+($F$2:$F184="Pending Client Data")+($F$2:$F184="Under Review"))*($A$2:$A184&lt;&gt;"")*((IF($G$2:$G184="",99999999,$G$2:$G184))=IF($G184="",99999999,$G184))),"")</f>
        <v/>
      </c>
    </row>
    <row r="185" customFormat="false" ht="15" hidden="false" customHeight="false" outlineLevel="0" collapsed="false">
      <c r="A185" s="9"/>
      <c r="B185" s="9"/>
      <c r="C185" s="10" t="str">
        <f aca="false">IF($B185="","",IFERROR(INDEX('Client Master'!$C:$C,MATCH($B185,'Client Master'!$B:$B,0)),"Code not found"))</f>
        <v/>
      </c>
      <c r="D185" s="9"/>
      <c r="E185" s="9"/>
      <c r="F185" s="9"/>
      <c r="G185" s="11"/>
      <c r="H185" s="11"/>
      <c r="I185" s="9"/>
      <c r="J185" s="12"/>
      <c r="K185" s="11"/>
      <c r="L185" s="9"/>
      <c r="N185" s="0" t="str">
        <f aca="false">IF(AND($J185&gt;0,$K185="",$A185&lt;&gt;""),SUMPRODUCT(($J$2:$J$600&gt;0)*($K$2:$K$600="")*($A$2:$A$600&lt;&gt;"")*((IF($G$2:$G$600="",99999999,$G$2:$G$600))&lt;IF($G185="",99999999,$G185)))+SUMPRODUCT(($J$2:$J185&gt;0)*($K$2:$K185="")*($A$2:$A185&lt;&gt;"")*((IF($G$2:$G185="",99999999,$G$2:$G185))=IF($G185="",99999999,$G185))),"")</f>
        <v/>
      </c>
      <c r="O185" s="0" t="str">
        <f aca="false">IF(AND($F185="Not Started",$A185&lt;&gt;""),SUMPRODUCT(($F$2:$F$600="Not Started")*($A$2:$A$600&lt;&gt;"")*((IF($G$2:$G$600="",99999999,$G$2:$G$600))&lt;IF($G185="",99999999,$G185)))+SUMPRODUCT(($F$2:$F185="Not Started")*($A$2:$A185&lt;&gt;"")*((IF($G$2:$G185="",99999999,$G$2:$G185))=IF($G185="",99999999,$G185))),"")</f>
        <v/>
      </c>
      <c r="P185" s="0" t="str">
        <f aca="false">IF(AND(OR($F185="In Progress",$F185="Pending Client Data",$F185="Under Review"),$A185&lt;&gt;""),SUMPRODUCT((($F$2:$F$600="In Progress")+($F$2:$F$600="Pending Client Data")+($F$2:$F$600="Under Review"))*($A$2:$A$600&lt;&gt;"")*((IF($G$2:$G$600="",99999999,$G$2:$G$600))&lt;IF($G185="",99999999,$G185)))+SUMPRODUCT((($F$2:$F185="In Progress")+($F$2:$F185="Pending Client Data")+($F$2:$F185="Under Review"))*($A$2:$A185&lt;&gt;"")*((IF($G$2:$G185="",99999999,$G$2:$G185))=IF($G185="",99999999,$G185))),"")</f>
        <v/>
      </c>
    </row>
    <row r="186" customFormat="false" ht="15" hidden="false" customHeight="false" outlineLevel="0" collapsed="false">
      <c r="A186" s="9"/>
      <c r="B186" s="9"/>
      <c r="C186" s="10" t="str">
        <f aca="false">IF($B186="","",IFERROR(INDEX('Client Master'!$C:$C,MATCH($B186,'Client Master'!$B:$B,0)),"Code not found"))</f>
        <v/>
      </c>
      <c r="D186" s="9"/>
      <c r="E186" s="9"/>
      <c r="F186" s="9"/>
      <c r="G186" s="11"/>
      <c r="H186" s="11"/>
      <c r="I186" s="9"/>
      <c r="J186" s="12"/>
      <c r="K186" s="11"/>
      <c r="L186" s="9"/>
      <c r="N186" s="0" t="str">
        <f aca="false">IF(AND($J186&gt;0,$K186="",$A186&lt;&gt;""),SUMPRODUCT(($J$2:$J$600&gt;0)*($K$2:$K$600="")*($A$2:$A$600&lt;&gt;"")*((IF($G$2:$G$600="",99999999,$G$2:$G$600))&lt;IF($G186="",99999999,$G186)))+SUMPRODUCT(($J$2:$J186&gt;0)*($K$2:$K186="")*($A$2:$A186&lt;&gt;"")*((IF($G$2:$G186="",99999999,$G$2:$G186))=IF($G186="",99999999,$G186))),"")</f>
        <v/>
      </c>
      <c r="O186" s="0" t="str">
        <f aca="false">IF(AND($F186="Not Started",$A186&lt;&gt;""),SUMPRODUCT(($F$2:$F$600="Not Started")*($A$2:$A$600&lt;&gt;"")*((IF($G$2:$G$600="",99999999,$G$2:$G$600))&lt;IF($G186="",99999999,$G186)))+SUMPRODUCT(($F$2:$F186="Not Started")*($A$2:$A186&lt;&gt;"")*((IF($G$2:$G186="",99999999,$G$2:$G186))=IF($G186="",99999999,$G186))),"")</f>
        <v/>
      </c>
      <c r="P186" s="0" t="str">
        <f aca="false">IF(AND(OR($F186="In Progress",$F186="Pending Client Data",$F186="Under Review"),$A186&lt;&gt;""),SUMPRODUCT((($F$2:$F$600="In Progress")+($F$2:$F$600="Pending Client Data")+($F$2:$F$600="Under Review"))*($A$2:$A$600&lt;&gt;"")*((IF($G$2:$G$600="",99999999,$G$2:$G$600))&lt;IF($G186="",99999999,$G186)))+SUMPRODUCT((($F$2:$F186="In Progress")+($F$2:$F186="Pending Client Data")+($F$2:$F186="Under Review"))*($A$2:$A186&lt;&gt;"")*((IF($G$2:$G186="",99999999,$G$2:$G186))=IF($G186="",99999999,$G186))),"")</f>
        <v/>
      </c>
    </row>
    <row r="187" customFormat="false" ht="15" hidden="false" customHeight="false" outlineLevel="0" collapsed="false">
      <c r="A187" s="9"/>
      <c r="B187" s="9"/>
      <c r="C187" s="10" t="str">
        <f aca="false">IF($B187="","",IFERROR(INDEX('Client Master'!$C:$C,MATCH($B187,'Client Master'!$B:$B,0)),"Code not found"))</f>
        <v/>
      </c>
      <c r="D187" s="9"/>
      <c r="E187" s="9"/>
      <c r="F187" s="9"/>
      <c r="G187" s="11"/>
      <c r="H187" s="11"/>
      <c r="I187" s="9"/>
      <c r="J187" s="12"/>
      <c r="K187" s="11"/>
      <c r="L187" s="9"/>
      <c r="N187" s="0" t="str">
        <f aca="false">IF(AND($J187&gt;0,$K187="",$A187&lt;&gt;""),SUMPRODUCT(($J$2:$J$600&gt;0)*($K$2:$K$600="")*($A$2:$A$600&lt;&gt;"")*((IF($G$2:$G$600="",99999999,$G$2:$G$600))&lt;IF($G187="",99999999,$G187)))+SUMPRODUCT(($J$2:$J187&gt;0)*($K$2:$K187="")*($A$2:$A187&lt;&gt;"")*((IF($G$2:$G187="",99999999,$G$2:$G187))=IF($G187="",99999999,$G187))),"")</f>
        <v/>
      </c>
      <c r="O187" s="0" t="str">
        <f aca="false">IF(AND($F187="Not Started",$A187&lt;&gt;""),SUMPRODUCT(($F$2:$F$600="Not Started")*($A$2:$A$600&lt;&gt;"")*((IF($G$2:$G$600="",99999999,$G$2:$G$600))&lt;IF($G187="",99999999,$G187)))+SUMPRODUCT(($F$2:$F187="Not Started")*($A$2:$A187&lt;&gt;"")*((IF($G$2:$G187="",99999999,$G$2:$G187))=IF($G187="",99999999,$G187))),"")</f>
        <v/>
      </c>
      <c r="P187" s="0" t="str">
        <f aca="false">IF(AND(OR($F187="In Progress",$F187="Pending Client Data",$F187="Under Review"),$A187&lt;&gt;""),SUMPRODUCT((($F$2:$F$600="In Progress")+($F$2:$F$600="Pending Client Data")+($F$2:$F$600="Under Review"))*($A$2:$A$600&lt;&gt;"")*((IF($G$2:$G$600="",99999999,$G$2:$G$600))&lt;IF($G187="",99999999,$G187)))+SUMPRODUCT((($F$2:$F187="In Progress")+($F$2:$F187="Pending Client Data")+($F$2:$F187="Under Review"))*($A$2:$A187&lt;&gt;"")*((IF($G$2:$G187="",99999999,$G$2:$G187))=IF($G187="",99999999,$G187))),"")</f>
        <v/>
      </c>
    </row>
    <row r="188" customFormat="false" ht="15" hidden="false" customHeight="false" outlineLevel="0" collapsed="false">
      <c r="A188" s="9"/>
      <c r="B188" s="9"/>
      <c r="C188" s="10" t="str">
        <f aca="false">IF($B188="","",IFERROR(INDEX('Client Master'!$C:$C,MATCH($B188,'Client Master'!$B:$B,0)),"Code not found"))</f>
        <v/>
      </c>
      <c r="D188" s="9"/>
      <c r="E188" s="9"/>
      <c r="F188" s="9"/>
      <c r="G188" s="11"/>
      <c r="H188" s="11"/>
      <c r="I188" s="9"/>
      <c r="J188" s="12"/>
      <c r="K188" s="11"/>
      <c r="L188" s="9"/>
      <c r="N188" s="0" t="str">
        <f aca="false">IF(AND($J188&gt;0,$K188="",$A188&lt;&gt;""),SUMPRODUCT(($J$2:$J$600&gt;0)*($K$2:$K$600="")*($A$2:$A$600&lt;&gt;"")*((IF($G$2:$G$600="",99999999,$G$2:$G$600))&lt;IF($G188="",99999999,$G188)))+SUMPRODUCT(($J$2:$J188&gt;0)*($K$2:$K188="")*($A$2:$A188&lt;&gt;"")*((IF($G$2:$G188="",99999999,$G$2:$G188))=IF($G188="",99999999,$G188))),"")</f>
        <v/>
      </c>
      <c r="O188" s="0" t="str">
        <f aca="false">IF(AND($F188="Not Started",$A188&lt;&gt;""),SUMPRODUCT(($F$2:$F$600="Not Started")*($A$2:$A$600&lt;&gt;"")*((IF($G$2:$G$600="",99999999,$G$2:$G$600))&lt;IF($G188="",99999999,$G188)))+SUMPRODUCT(($F$2:$F188="Not Started")*($A$2:$A188&lt;&gt;"")*((IF($G$2:$G188="",99999999,$G$2:$G188))=IF($G188="",99999999,$G188))),"")</f>
        <v/>
      </c>
      <c r="P188" s="0" t="str">
        <f aca="false">IF(AND(OR($F188="In Progress",$F188="Pending Client Data",$F188="Under Review"),$A188&lt;&gt;""),SUMPRODUCT((($F$2:$F$600="In Progress")+($F$2:$F$600="Pending Client Data")+($F$2:$F$600="Under Review"))*($A$2:$A$600&lt;&gt;"")*((IF($G$2:$G$600="",99999999,$G$2:$G$600))&lt;IF($G188="",99999999,$G188)))+SUMPRODUCT((($F$2:$F188="In Progress")+($F$2:$F188="Pending Client Data")+($F$2:$F188="Under Review"))*($A$2:$A188&lt;&gt;"")*((IF($G$2:$G188="",99999999,$G$2:$G188))=IF($G188="",99999999,$G188))),"")</f>
        <v/>
      </c>
    </row>
    <row r="189" customFormat="false" ht="15" hidden="false" customHeight="false" outlineLevel="0" collapsed="false">
      <c r="A189" s="9"/>
      <c r="B189" s="9"/>
      <c r="C189" s="10" t="str">
        <f aca="false">IF($B189="","",IFERROR(INDEX('Client Master'!$C:$C,MATCH($B189,'Client Master'!$B:$B,0)),"Code not found"))</f>
        <v/>
      </c>
      <c r="D189" s="9"/>
      <c r="E189" s="9"/>
      <c r="F189" s="9"/>
      <c r="G189" s="11"/>
      <c r="H189" s="11"/>
      <c r="I189" s="9"/>
      <c r="J189" s="12"/>
      <c r="K189" s="11"/>
      <c r="L189" s="9"/>
      <c r="N189" s="0" t="str">
        <f aca="false">IF(AND($J189&gt;0,$K189="",$A189&lt;&gt;""),SUMPRODUCT(($J$2:$J$600&gt;0)*($K$2:$K$600="")*($A$2:$A$600&lt;&gt;"")*((IF($G$2:$G$600="",99999999,$G$2:$G$600))&lt;IF($G189="",99999999,$G189)))+SUMPRODUCT(($J$2:$J189&gt;0)*($K$2:$K189="")*($A$2:$A189&lt;&gt;"")*((IF($G$2:$G189="",99999999,$G$2:$G189))=IF($G189="",99999999,$G189))),"")</f>
        <v/>
      </c>
      <c r="O189" s="0" t="str">
        <f aca="false">IF(AND($F189="Not Started",$A189&lt;&gt;""),SUMPRODUCT(($F$2:$F$600="Not Started")*($A$2:$A$600&lt;&gt;"")*((IF($G$2:$G$600="",99999999,$G$2:$G$600))&lt;IF($G189="",99999999,$G189)))+SUMPRODUCT(($F$2:$F189="Not Started")*($A$2:$A189&lt;&gt;"")*((IF($G$2:$G189="",99999999,$G$2:$G189))=IF($G189="",99999999,$G189))),"")</f>
        <v/>
      </c>
      <c r="P189" s="0" t="str">
        <f aca="false">IF(AND(OR($F189="In Progress",$F189="Pending Client Data",$F189="Under Review"),$A189&lt;&gt;""),SUMPRODUCT((($F$2:$F$600="In Progress")+($F$2:$F$600="Pending Client Data")+($F$2:$F$600="Under Review"))*($A$2:$A$600&lt;&gt;"")*((IF($G$2:$G$600="",99999999,$G$2:$G$600))&lt;IF($G189="",99999999,$G189)))+SUMPRODUCT((($F$2:$F189="In Progress")+($F$2:$F189="Pending Client Data")+($F$2:$F189="Under Review"))*($A$2:$A189&lt;&gt;"")*((IF($G$2:$G189="",99999999,$G$2:$G189))=IF($G189="",99999999,$G189))),"")</f>
        <v/>
      </c>
    </row>
    <row r="190" customFormat="false" ht="15" hidden="false" customHeight="false" outlineLevel="0" collapsed="false">
      <c r="A190" s="9"/>
      <c r="B190" s="9"/>
      <c r="C190" s="10" t="str">
        <f aca="false">IF($B190="","",IFERROR(INDEX('Client Master'!$C:$C,MATCH($B190,'Client Master'!$B:$B,0)),"Code not found"))</f>
        <v/>
      </c>
      <c r="D190" s="9"/>
      <c r="E190" s="9"/>
      <c r="F190" s="9"/>
      <c r="G190" s="11"/>
      <c r="H190" s="11"/>
      <c r="I190" s="9"/>
      <c r="J190" s="12"/>
      <c r="K190" s="11"/>
      <c r="L190" s="9"/>
      <c r="N190" s="0" t="str">
        <f aca="false">IF(AND($J190&gt;0,$K190="",$A190&lt;&gt;""),SUMPRODUCT(($J$2:$J$600&gt;0)*($K$2:$K$600="")*($A$2:$A$600&lt;&gt;"")*((IF($G$2:$G$600="",99999999,$G$2:$G$600))&lt;IF($G190="",99999999,$G190)))+SUMPRODUCT(($J$2:$J190&gt;0)*($K$2:$K190="")*($A$2:$A190&lt;&gt;"")*((IF($G$2:$G190="",99999999,$G$2:$G190))=IF($G190="",99999999,$G190))),"")</f>
        <v/>
      </c>
      <c r="O190" s="0" t="str">
        <f aca="false">IF(AND($F190="Not Started",$A190&lt;&gt;""),SUMPRODUCT(($F$2:$F$600="Not Started")*($A$2:$A$600&lt;&gt;"")*((IF($G$2:$G$600="",99999999,$G$2:$G$600))&lt;IF($G190="",99999999,$G190)))+SUMPRODUCT(($F$2:$F190="Not Started")*($A$2:$A190&lt;&gt;"")*((IF($G$2:$G190="",99999999,$G$2:$G190))=IF($G190="",99999999,$G190))),"")</f>
        <v/>
      </c>
      <c r="P190" s="0" t="str">
        <f aca="false">IF(AND(OR($F190="In Progress",$F190="Pending Client Data",$F190="Under Review"),$A190&lt;&gt;""),SUMPRODUCT((($F$2:$F$600="In Progress")+($F$2:$F$600="Pending Client Data")+($F$2:$F$600="Under Review"))*($A$2:$A$600&lt;&gt;"")*((IF($G$2:$G$600="",99999999,$G$2:$G$600))&lt;IF($G190="",99999999,$G190)))+SUMPRODUCT((($F$2:$F190="In Progress")+($F$2:$F190="Pending Client Data")+($F$2:$F190="Under Review"))*($A$2:$A190&lt;&gt;"")*((IF($G$2:$G190="",99999999,$G$2:$G190))=IF($G190="",99999999,$G190))),"")</f>
        <v/>
      </c>
    </row>
    <row r="191" customFormat="false" ht="15" hidden="false" customHeight="false" outlineLevel="0" collapsed="false">
      <c r="A191" s="9"/>
      <c r="B191" s="9"/>
      <c r="C191" s="10" t="str">
        <f aca="false">IF($B191="","",IFERROR(INDEX('Client Master'!$C:$C,MATCH($B191,'Client Master'!$B:$B,0)),"Code not found"))</f>
        <v/>
      </c>
      <c r="D191" s="9"/>
      <c r="E191" s="9"/>
      <c r="F191" s="9"/>
      <c r="G191" s="11"/>
      <c r="H191" s="11"/>
      <c r="I191" s="9"/>
      <c r="J191" s="12"/>
      <c r="K191" s="11"/>
      <c r="L191" s="9"/>
      <c r="N191" s="0" t="str">
        <f aca="false">IF(AND($J191&gt;0,$K191="",$A191&lt;&gt;""),SUMPRODUCT(($J$2:$J$600&gt;0)*($K$2:$K$600="")*($A$2:$A$600&lt;&gt;"")*((IF($G$2:$G$600="",99999999,$G$2:$G$600))&lt;IF($G191="",99999999,$G191)))+SUMPRODUCT(($J$2:$J191&gt;0)*($K$2:$K191="")*($A$2:$A191&lt;&gt;"")*((IF($G$2:$G191="",99999999,$G$2:$G191))=IF($G191="",99999999,$G191))),"")</f>
        <v/>
      </c>
      <c r="O191" s="0" t="str">
        <f aca="false">IF(AND($F191="Not Started",$A191&lt;&gt;""),SUMPRODUCT(($F$2:$F$600="Not Started")*($A$2:$A$600&lt;&gt;"")*((IF($G$2:$G$600="",99999999,$G$2:$G$600))&lt;IF($G191="",99999999,$G191)))+SUMPRODUCT(($F$2:$F191="Not Started")*($A$2:$A191&lt;&gt;"")*((IF($G$2:$G191="",99999999,$G$2:$G191))=IF($G191="",99999999,$G191))),"")</f>
        <v/>
      </c>
      <c r="P191" s="0" t="str">
        <f aca="false">IF(AND(OR($F191="In Progress",$F191="Pending Client Data",$F191="Under Review"),$A191&lt;&gt;""),SUMPRODUCT((($F$2:$F$600="In Progress")+($F$2:$F$600="Pending Client Data")+($F$2:$F$600="Under Review"))*($A$2:$A$600&lt;&gt;"")*((IF($G$2:$G$600="",99999999,$G$2:$G$600))&lt;IF($G191="",99999999,$G191)))+SUMPRODUCT((($F$2:$F191="In Progress")+($F$2:$F191="Pending Client Data")+($F$2:$F191="Under Review"))*($A$2:$A191&lt;&gt;"")*((IF($G$2:$G191="",99999999,$G$2:$G191))=IF($G191="",99999999,$G191))),"")</f>
        <v/>
      </c>
    </row>
    <row r="192" customFormat="false" ht="15" hidden="false" customHeight="false" outlineLevel="0" collapsed="false">
      <c r="A192" s="9"/>
      <c r="B192" s="9"/>
      <c r="C192" s="10" t="str">
        <f aca="false">IF($B192="","",IFERROR(INDEX('Client Master'!$C:$C,MATCH($B192,'Client Master'!$B:$B,0)),"Code not found"))</f>
        <v/>
      </c>
      <c r="D192" s="9"/>
      <c r="E192" s="9"/>
      <c r="F192" s="9"/>
      <c r="G192" s="11"/>
      <c r="H192" s="11"/>
      <c r="I192" s="9"/>
      <c r="J192" s="12"/>
      <c r="K192" s="11"/>
      <c r="L192" s="9"/>
      <c r="N192" s="0" t="str">
        <f aca="false">IF(AND($J192&gt;0,$K192="",$A192&lt;&gt;""),SUMPRODUCT(($J$2:$J$600&gt;0)*($K$2:$K$600="")*($A$2:$A$600&lt;&gt;"")*((IF($G$2:$G$600="",99999999,$G$2:$G$600))&lt;IF($G192="",99999999,$G192)))+SUMPRODUCT(($J$2:$J192&gt;0)*($K$2:$K192="")*($A$2:$A192&lt;&gt;"")*((IF($G$2:$G192="",99999999,$G$2:$G192))=IF($G192="",99999999,$G192))),"")</f>
        <v/>
      </c>
      <c r="O192" s="0" t="str">
        <f aca="false">IF(AND($F192="Not Started",$A192&lt;&gt;""),SUMPRODUCT(($F$2:$F$600="Not Started")*($A$2:$A$600&lt;&gt;"")*((IF($G$2:$G$600="",99999999,$G$2:$G$600))&lt;IF($G192="",99999999,$G192)))+SUMPRODUCT(($F$2:$F192="Not Started")*($A$2:$A192&lt;&gt;"")*((IF($G$2:$G192="",99999999,$G$2:$G192))=IF($G192="",99999999,$G192))),"")</f>
        <v/>
      </c>
      <c r="P192" s="0" t="str">
        <f aca="false">IF(AND(OR($F192="In Progress",$F192="Pending Client Data",$F192="Under Review"),$A192&lt;&gt;""),SUMPRODUCT((($F$2:$F$600="In Progress")+($F$2:$F$600="Pending Client Data")+($F$2:$F$600="Under Review"))*($A$2:$A$600&lt;&gt;"")*((IF($G$2:$G$600="",99999999,$G$2:$G$600))&lt;IF($G192="",99999999,$G192)))+SUMPRODUCT((($F$2:$F192="In Progress")+($F$2:$F192="Pending Client Data")+($F$2:$F192="Under Review"))*($A$2:$A192&lt;&gt;"")*((IF($G$2:$G192="",99999999,$G$2:$G192))=IF($G192="",99999999,$G192))),"")</f>
        <v/>
      </c>
    </row>
    <row r="193" customFormat="false" ht="15" hidden="false" customHeight="false" outlineLevel="0" collapsed="false">
      <c r="A193" s="9"/>
      <c r="B193" s="9"/>
      <c r="C193" s="10" t="str">
        <f aca="false">IF($B193="","",IFERROR(INDEX('Client Master'!$C:$C,MATCH($B193,'Client Master'!$B:$B,0)),"Code not found"))</f>
        <v/>
      </c>
      <c r="D193" s="9"/>
      <c r="E193" s="9"/>
      <c r="F193" s="9"/>
      <c r="G193" s="11"/>
      <c r="H193" s="11"/>
      <c r="I193" s="9"/>
      <c r="J193" s="12"/>
      <c r="K193" s="11"/>
      <c r="L193" s="9"/>
      <c r="N193" s="0" t="str">
        <f aca="false">IF(AND($J193&gt;0,$K193="",$A193&lt;&gt;""),SUMPRODUCT(($J$2:$J$600&gt;0)*($K$2:$K$600="")*($A$2:$A$600&lt;&gt;"")*((IF($G$2:$G$600="",99999999,$G$2:$G$600))&lt;IF($G193="",99999999,$G193)))+SUMPRODUCT(($J$2:$J193&gt;0)*($K$2:$K193="")*($A$2:$A193&lt;&gt;"")*((IF($G$2:$G193="",99999999,$G$2:$G193))=IF($G193="",99999999,$G193))),"")</f>
        <v/>
      </c>
      <c r="O193" s="0" t="str">
        <f aca="false">IF(AND($F193="Not Started",$A193&lt;&gt;""),SUMPRODUCT(($F$2:$F$600="Not Started")*($A$2:$A$600&lt;&gt;"")*((IF($G$2:$G$600="",99999999,$G$2:$G$600))&lt;IF($G193="",99999999,$G193)))+SUMPRODUCT(($F$2:$F193="Not Started")*($A$2:$A193&lt;&gt;"")*((IF($G$2:$G193="",99999999,$G$2:$G193))=IF($G193="",99999999,$G193))),"")</f>
        <v/>
      </c>
      <c r="P193" s="0" t="str">
        <f aca="false">IF(AND(OR($F193="In Progress",$F193="Pending Client Data",$F193="Under Review"),$A193&lt;&gt;""),SUMPRODUCT((($F$2:$F$600="In Progress")+($F$2:$F$600="Pending Client Data")+($F$2:$F$600="Under Review"))*($A$2:$A$600&lt;&gt;"")*((IF($G$2:$G$600="",99999999,$G$2:$G$600))&lt;IF($G193="",99999999,$G193)))+SUMPRODUCT((($F$2:$F193="In Progress")+($F$2:$F193="Pending Client Data")+($F$2:$F193="Under Review"))*($A$2:$A193&lt;&gt;"")*((IF($G$2:$G193="",99999999,$G$2:$G193))=IF($G193="",99999999,$G193))),"")</f>
        <v/>
      </c>
    </row>
    <row r="194" customFormat="false" ht="15" hidden="false" customHeight="false" outlineLevel="0" collapsed="false">
      <c r="A194" s="9"/>
      <c r="B194" s="9"/>
      <c r="C194" s="10" t="str">
        <f aca="false">IF($B194="","",IFERROR(INDEX('Client Master'!$C:$C,MATCH($B194,'Client Master'!$B:$B,0)),"Code not found"))</f>
        <v/>
      </c>
      <c r="D194" s="9"/>
      <c r="E194" s="9"/>
      <c r="F194" s="9"/>
      <c r="G194" s="11"/>
      <c r="H194" s="11"/>
      <c r="I194" s="9"/>
      <c r="J194" s="12"/>
      <c r="K194" s="11"/>
      <c r="L194" s="9"/>
      <c r="N194" s="0" t="str">
        <f aca="false">IF(AND($J194&gt;0,$K194="",$A194&lt;&gt;""),SUMPRODUCT(($J$2:$J$600&gt;0)*($K$2:$K$600="")*($A$2:$A$600&lt;&gt;"")*((IF($G$2:$G$600="",99999999,$G$2:$G$600))&lt;IF($G194="",99999999,$G194)))+SUMPRODUCT(($J$2:$J194&gt;0)*($K$2:$K194="")*($A$2:$A194&lt;&gt;"")*((IF($G$2:$G194="",99999999,$G$2:$G194))=IF($G194="",99999999,$G194))),"")</f>
        <v/>
      </c>
      <c r="O194" s="0" t="str">
        <f aca="false">IF(AND($F194="Not Started",$A194&lt;&gt;""),SUMPRODUCT(($F$2:$F$600="Not Started")*($A$2:$A$600&lt;&gt;"")*((IF($G$2:$G$600="",99999999,$G$2:$G$600))&lt;IF($G194="",99999999,$G194)))+SUMPRODUCT(($F$2:$F194="Not Started")*($A$2:$A194&lt;&gt;"")*((IF($G$2:$G194="",99999999,$G$2:$G194))=IF($G194="",99999999,$G194))),"")</f>
        <v/>
      </c>
      <c r="P194" s="0" t="str">
        <f aca="false">IF(AND(OR($F194="In Progress",$F194="Pending Client Data",$F194="Under Review"),$A194&lt;&gt;""),SUMPRODUCT((($F$2:$F$600="In Progress")+($F$2:$F$600="Pending Client Data")+($F$2:$F$600="Under Review"))*($A$2:$A$600&lt;&gt;"")*((IF($G$2:$G$600="",99999999,$G$2:$G$600))&lt;IF($G194="",99999999,$G194)))+SUMPRODUCT((($F$2:$F194="In Progress")+($F$2:$F194="Pending Client Data")+($F$2:$F194="Under Review"))*($A$2:$A194&lt;&gt;"")*((IF($G$2:$G194="",99999999,$G$2:$G194))=IF($G194="",99999999,$G194))),"")</f>
        <v/>
      </c>
    </row>
    <row r="195" customFormat="false" ht="15" hidden="false" customHeight="false" outlineLevel="0" collapsed="false">
      <c r="A195" s="9"/>
      <c r="B195" s="9"/>
      <c r="C195" s="10" t="str">
        <f aca="false">IF($B195="","",IFERROR(INDEX('Client Master'!$C:$C,MATCH($B195,'Client Master'!$B:$B,0)),"Code not found"))</f>
        <v/>
      </c>
      <c r="D195" s="9"/>
      <c r="E195" s="9"/>
      <c r="F195" s="9"/>
      <c r="G195" s="11"/>
      <c r="H195" s="11"/>
      <c r="I195" s="9"/>
      <c r="J195" s="12"/>
      <c r="K195" s="11"/>
      <c r="L195" s="9"/>
      <c r="N195" s="0" t="str">
        <f aca="false">IF(AND($J195&gt;0,$K195="",$A195&lt;&gt;""),SUMPRODUCT(($J$2:$J$600&gt;0)*($K$2:$K$600="")*($A$2:$A$600&lt;&gt;"")*((IF($G$2:$G$600="",99999999,$G$2:$G$600))&lt;IF($G195="",99999999,$G195)))+SUMPRODUCT(($J$2:$J195&gt;0)*($K$2:$K195="")*($A$2:$A195&lt;&gt;"")*((IF($G$2:$G195="",99999999,$G$2:$G195))=IF($G195="",99999999,$G195))),"")</f>
        <v/>
      </c>
      <c r="O195" s="0" t="str">
        <f aca="false">IF(AND($F195="Not Started",$A195&lt;&gt;""),SUMPRODUCT(($F$2:$F$600="Not Started")*($A$2:$A$600&lt;&gt;"")*((IF($G$2:$G$600="",99999999,$G$2:$G$600))&lt;IF($G195="",99999999,$G195)))+SUMPRODUCT(($F$2:$F195="Not Started")*($A$2:$A195&lt;&gt;"")*((IF($G$2:$G195="",99999999,$G$2:$G195))=IF($G195="",99999999,$G195))),"")</f>
        <v/>
      </c>
      <c r="P195" s="0" t="str">
        <f aca="false">IF(AND(OR($F195="In Progress",$F195="Pending Client Data",$F195="Under Review"),$A195&lt;&gt;""),SUMPRODUCT((($F$2:$F$600="In Progress")+($F$2:$F$600="Pending Client Data")+($F$2:$F$600="Under Review"))*($A$2:$A$600&lt;&gt;"")*((IF($G$2:$G$600="",99999999,$G$2:$G$600))&lt;IF($G195="",99999999,$G195)))+SUMPRODUCT((($F$2:$F195="In Progress")+($F$2:$F195="Pending Client Data")+($F$2:$F195="Under Review"))*($A$2:$A195&lt;&gt;"")*((IF($G$2:$G195="",99999999,$G$2:$G195))=IF($G195="",99999999,$G195))),"")</f>
        <v/>
      </c>
    </row>
    <row r="196" customFormat="false" ht="15" hidden="false" customHeight="false" outlineLevel="0" collapsed="false">
      <c r="A196" s="9"/>
      <c r="B196" s="9"/>
      <c r="C196" s="10" t="str">
        <f aca="false">IF($B196="","",IFERROR(INDEX('Client Master'!$C:$C,MATCH($B196,'Client Master'!$B:$B,0)),"Code not found"))</f>
        <v/>
      </c>
      <c r="D196" s="9"/>
      <c r="E196" s="9"/>
      <c r="F196" s="9"/>
      <c r="G196" s="11"/>
      <c r="H196" s="11"/>
      <c r="I196" s="9"/>
      <c r="J196" s="12"/>
      <c r="K196" s="11"/>
      <c r="L196" s="9"/>
      <c r="N196" s="0" t="str">
        <f aca="false">IF(AND($J196&gt;0,$K196="",$A196&lt;&gt;""),SUMPRODUCT(($J$2:$J$600&gt;0)*($K$2:$K$600="")*($A$2:$A$600&lt;&gt;"")*((IF($G$2:$G$600="",99999999,$G$2:$G$600))&lt;IF($G196="",99999999,$G196)))+SUMPRODUCT(($J$2:$J196&gt;0)*($K$2:$K196="")*($A$2:$A196&lt;&gt;"")*((IF($G$2:$G196="",99999999,$G$2:$G196))=IF($G196="",99999999,$G196))),"")</f>
        <v/>
      </c>
      <c r="O196" s="0" t="str">
        <f aca="false">IF(AND($F196="Not Started",$A196&lt;&gt;""),SUMPRODUCT(($F$2:$F$600="Not Started")*($A$2:$A$600&lt;&gt;"")*((IF($G$2:$G$600="",99999999,$G$2:$G$600))&lt;IF($G196="",99999999,$G196)))+SUMPRODUCT(($F$2:$F196="Not Started")*($A$2:$A196&lt;&gt;"")*((IF($G$2:$G196="",99999999,$G$2:$G196))=IF($G196="",99999999,$G196))),"")</f>
        <v/>
      </c>
      <c r="P196" s="0" t="str">
        <f aca="false">IF(AND(OR($F196="In Progress",$F196="Pending Client Data",$F196="Under Review"),$A196&lt;&gt;""),SUMPRODUCT((($F$2:$F$600="In Progress")+($F$2:$F$600="Pending Client Data")+($F$2:$F$600="Under Review"))*($A$2:$A$600&lt;&gt;"")*((IF($G$2:$G$600="",99999999,$G$2:$G$600))&lt;IF($G196="",99999999,$G196)))+SUMPRODUCT((($F$2:$F196="In Progress")+($F$2:$F196="Pending Client Data")+($F$2:$F196="Under Review"))*($A$2:$A196&lt;&gt;"")*((IF($G$2:$G196="",99999999,$G$2:$G196))=IF($G196="",99999999,$G196))),"")</f>
        <v/>
      </c>
    </row>
    <row r="197" customFormat="false" ht="15" hidden="false" customHeight="false" outlineLevel="0" collapsed="false">
      <c r="A197" s="9"/>
      <c r="B197" s="9"/>
      <c r="C197" s="10" t="str">
        <f aca="false">IF($B197="","",IFERROR(INDEX('Client Master'!$C:$C,MATCH($B197,'Client Master'!$B:$B,0)),"Code not found"))</f>
        <v/>
      </c>
      <c r="D197" s="9"/>
      <c r="E197" s="9"/>
      <c r="F197" s="9"/>
      <c r="G197" s="11"/>
      <c r="H197" s="11"/>
      <c r="I197" s="9"/>
      <c r="J197" s="12"/>
      <c r="K197" s="11"/>
      <c r="L197" s="9"/>
      <c r="N197" s="0" t="str">
        <f aca="false">IF(AND($J197&gt;0,$K197="",$A197&lt;&gt;""),SUMPRODUCT(($J$2:$J$600&gt;0)*($K$2:$K$600="")*($A$2:$A$600&lt;&gt;"")*((IF($G$2:$G$600="",99999999,$G$2:$G$600))&lt;IF($G197="",99999999,$G197)))+SUMPRODUCT(($J$2:$J197&gt;0)*($K$2:$K197="")*($A$2:$A197&lt;&gt;"")*((IF($G$2:$G197="",99999999,$G$2:$G197))=IF($G197="",99999999,$G197))),"")</f>
        <v/>
      </c>
      <c r="O197" s="0" t="str">
        <f aca="false">IF(AND($F197="Not Started",$A197&lt;&gt;""),SUMPRODUCT(($F$2:$F$600="Not Started")*($A$2:$A$600&lt;&gt;"")*((IF($G$2:$G$600="",99999999,$G$2:$G$600))&lt;IF($G197="",99999999,$G197)))+SUMPRODUCT(($F$2:$F197="Not Started")*($A$2:$A197&lt;&gt;"")*((IF($G$2:$G197="",99999999,$G$2:$G197))=IF($G197="",99999999,$G197))),"")</f>
        <v/>
      </c>
      <c r="P197" s="0" t="str">
        <f aca="false">IF(AND(OR($F197="In Progress",$F197="Pending Client Data",$F197="Under Review"),$A197&lt;&gt;""),SUMPRODUCT((($F$2:$F$600="In Progress")+($F$2:$F$600="Pending Client Data")+($F$2:$F$600="Under Review"))*($A$2:$A$600&lt;&gt;"")*((IF($G$2:$G$600="",99999999,$G$2:$G$600))&lt;IF($G197="",99999999,$G197)))+SUMPRODUCT((($F$2:$F197="In Progress")+($F$2:$F197="Pending Client Data")+($F$2:$F197="Under Review"))*($A$2:$A197&lt;&gt;"")*((IF($G$2:$G197="",99999999,$G$2:$G197))=IF($G197="",99999999,$G197))),"")</f>
        <v/>
      </c>
    </row>
    <row r="198" customFormat="false" ht="15" hidden="false" customHeight="false" outlineLevel="0" collapsed="false">
      <c r="A198" s="9"/>
      <c r="B198" s="9"/>
      <c r="C198" s="10" t="str">
        <f aca="false">IF($B198="","",IFERROR(INDEX('Client Master'!$C:$C,MATCH($B198,'Client Master'!$B:$B,0)),"Code not found"))</f>
        <v/>
      </c>
      <c r="D198" s="9"/>
      <c r="E198" s="9"/>
      <c r="F198" s="9"/>
      <c r="G198" s="11"/>
      <c r="H198" s="11"/>
      <c r="I198" s="9"/>
      <c r="J198" s="12"/>
      <c r="K198" s="11"/>
      <c r="L198" s="9"/>
      <c r="N198" s="0" t="str">
        <f aca="false">IF(AND($J198&gt;0,$K198="",$A198&lt;&gt;""),SUMPRODUCT(($J$2:$J$600&gt;0)*($K$2:$K$600="")*($A$2:$A$600&lt;&gt;"")*((IF($G$2:$G$600="",99999999,$G$2:$G$600))&lt;IF($G198="",99999999,$G198)))+SUMPRODUCT(($J$2:$J198&gt;0)*($K$2:$K198="")*($A$2:$A198&lt;&gt;"")*((IF($G$2:$G198="",99999999,$G$2:$G198))=IF($G198="",99999999,$G198))),"")</f>
        <v/>
      </c>
      <c r="O198" s="0" t="str">
        <f aca="false">IF(AND($F198="Not Started",$A198&lt;&gt;""),SUMPRODUCT(($F$2:$F$600="Not Started")*($A$2:$A$600&lt;&gt;"")*((IF($G$2:$G$600="",99999999,$G$2:$G$600))&lt;IF($G198="",99999999,$G198)))+SUMPRODUCT(($F$2:$F198="Not Started")*($A$2:$A198&lt;&gt;"")*((IF($G$2:$G198="",99999999,$G$2:$G198))=IF($G198="",99999999,$G198))),"")</f>
        <v/>
      </c>
      <c r="P198" s="0" t="str">
        <f aca="false">IF(AND(OR($F198="In Progress",$F198="Pending Client Data",$F198="Under Review"),$A198&lt;&gt;""),SUMPRODUCT((($F$2:$F$600="In Progress")+($F$2:$F$600="Pending Client Data")+($F$2:$F$600="Under Review"))*($A$2:$A$600&lt;&gt;"")*((IF($G$2:$G$600="",99999999,$G$2:$G$600))&lt;IF($G198="",99999999,$G198)))+SUMPRODUCT((($F$2:$F198="In Progress")+($F$2:$F198="Pending Client Data")+($F$2:$F198="Under Review"))*($A$2:$A198&lt;&gt;"")*((IF($G$2:$G198="",99999999,$G$2:$G198))=IF($G198="",99999999,$G198))),"")</f>
        <v/>
      </c>
    </row>
    <row r="199" customFormat="false" ht="15" hidden="false" customHeight="false" outlineLevel="0" collapsed="false">
      <c r="A199" s="9"/>
      <c r="B199" s="9"/>
      <c r="C199" s="10" t="str">
        <f aca="false">IF($B199="","",IFERROR(INDEX('Client Master'!$C:$C,MATCH($B199,'Client Master'!$B:$B,0)),"Code not found"))</f>
        <v/>
      </c>
      <c r="D199" s="9"/>
      <c r="E199" s="9"/>
      <c r="F199" s="9"/>
      <c r="G199" s="11"/>
      <c r="H199" s="11"/>
      <c r="I199" s="9"/>
      <c r="J199" s="12"/>
      <c r="K199" s="11"/>
      <c r="L199" s="9"/>
      <c r="N199" s="0" t="str">
        <f aca="false">IF(AND($J199&gt;0,$K199="",$A199&lt;&gt;""),SUMPRODUCT(($J$2:$J$600&gt;0)*($K$2:$K$600="")*($A$2:$A$600&lt;&gt;"")*((IF($G$2:$G$600="",99999999,$G$2:$G$600))&lt;IF($G199="",99999999,$G199)))+SUMPRODUCT(($J$2:$J199&gt;0)*($K$2:$K199="")*($A$2:$A199&lt;&gt;"")*((IF($G$2:$G199="",99999999,$G$2:$G199))=IF($G199="",99999999,$G199))),"")</f>
        <v/>
      </c>
      <c r="O199" s="0" t="str">
        <f aca="false">IF(AND($F199="Not Started",$A199&lt;&gt;""),SUMPRODUCT(($F$2:$F$600="Not Started")*($A$2:$A$600&lt;&gt;"")*((IF($G$2:$G$600="",99999999,$G$2:$G$600))&lt;IF($G199="",99999999,$G199)))+SUMPRODUCT(($F$2:$F199="Not Started")*($A$2:$A199&lt;&gt;"")*((IF($G$2:$G199="",99999999,$G$2:$G199))=IF($G199="",99999999,$G199))),"")</f>
        <v/>
      </c>
      <c r="P199" s="0" t="str">
        <f aca="false">IF(AND(OR($F199="In Progress",$F199="Pending Client Data",$F199="Under Review"),$A199&lt;&gt;""),SUMPRODUCT((($F$2:$F$600="In Progress")+($F$2:$F$600="Pending Client Data")+($F$2:$F$600="Under Review"))*($A$2:$A$600&lt;&gt;"")*((IF($G$2:$G$600="",99999999,$G$2:$G$600))&lt;IF($G199="",99999999,$G199)))+SUMPRODUCT((($F$2:$F199="In Progress")+($F$2:$F199="Pending Client Data")+($F$2:$F199="Under Review"))*($A$2:$A199&lt;&gt;"")*((IF($G$2:$G199="",99999999,$G$2:$G199))=IF($G199="",99999999,$G199))),"")</f>
        <v/>
      </c>
    </row>
    <row r="200" customFormat="false" ht="15" hidden="false" customHeight="false" outlineLevel="0" collapsed="false">
      <c r="A200" s="9"/>
      <c r="B200" s="9"/>
      <c r="C200" s="10" t="str">
        <f aca="false">IF($B200="","",IFERROR(INDEX('Client Master'!$C:$C,MATCH($B200,'Client Master'!$B:$B,0)),"Code not found"))</f>
        <v/>
      </c>
      <c r="D200" s="9"/>
      <c r="E200" s="9"/>
      <c r="F200" s="9"/>
      <c r="G200" s="11"/>
      <c r="H200" s="11"/>
      <c r="I200" s="9"/>
      <c r="J200" s="12"/>
      <c r="K200" s="11"/>
      <c r="L200" s="9"/>
      <c r="N200" s="0" t="str">
        <f aca="false">IF(AND($J200&gt;0,$K200="",$A200&lt;&gt;""),SUMPRODUCT(($J$2:$J$600&gt;0)*($K$2:$K$600="")*($A$2:$A$600&lt;&gt;"")*((IF($G$2:$G$600="",99999999,$G$2:$G$600))&lt;IF($G200="",99999999,$G200)))+SUMPRODUCT(($J$2:$J200&gt;0)*($K$2:$K200="")*($A$2:$A200&lt;&gt;"")*((IF($G$2:$G200="",99999999,$G$2:$G200))=IF($G200="",99999999,$G200))),"")</f>
        <v/>
      </c>
      <c r="O200" s="0" t="str">
        <f aca="false">IF(AND($F200="Not Started",$A200&lt;&gt;""),SUMPRODUCT(($F$2:$F$600="Not Started")*($A$2:$A$600&lt;&gt;"")*((IF($G$2:$G$600="",99999999,$G$2:$G$600))&lt;IF($G200="",99999999,$G200)))+SUMPRODUCT(($F$2:$F200="Not Started")*($A$2:$A200&lt;&gt;"")*((IF($G$2:$G200="",99999999,$G$2:$G200))=IF($G200="",99999999,$G200))),"")</f>
        <v/>
      </c>
      <c r="P200" s="0" t="str">
        <f aca="false">IF(AND(OR($F200="In Progress",$F200="Pending Client Data",$F200="Under Review"),$A200&lt;&gt;""),SUMPRODUCT((($F$2:$F$600="In Progress")+($F$2:$F$600="Pending Client Data")+($F$2:$F$600="Under Review"))*($A$2:$A$600&lt;&gt;"")*((IF($G$2:$G$600="",99999999,$G$2:$G$600))&lt;IF($G200="",99999999,$G200)))+SUMPRODUCT((($F$2:$F200="In Progress")+($F$2:$F200="Pending Client Data")+($F$2:$F200="Under Review"))*($A$2:$A200&lt;&gt;"")*((IF($G$2:$G200="",99999999,$G$2:$G200))=IF($G200="",99999999,$G200))),"")</f>
        <v/>
      </c>
    </row>
    <row r="201" customFormat="false" ht="15" hidden="false" customHeight="false" outlineLevel="0" collapsed="false">
      <c r="A201" s="9"/>
      <c r="B201" s="9"/>
      <c r="C201" s="10" t="str">
        <f aca="false">IF($B201="","",IFERROR(INDEX('Client Master'!$C:$C,MATCH($B201,'Client Master'!$B:$B,0)),"Code not found"))</f>
        <v/>
      </c>
      <c r="D201" s="9"/>
      <c r="E201" s="9"/>
      <c r="F201" s="9"/>
      <c r="G201" s="11"/>
      <c r="H201" s="11"/>
      <c r="I201" s="9"/>
      <c r="J201" s="12"/>
      <c r="K201" s="11"/>
      <c r="L201" s="9"/>
      <c r="N201" s="0" t="str">
        <f aca="false">IF(AND($J201&gt;0,$K201="",$A201&lt;&gt;""),SUMPRODUCT(($J$2:$J$600&gt;0)*($K$2:$K$600="")*($A$2:$A$600&lt;&gt;"")*((IF($G$2:$G$600="",99999999,$G$2:$G$600))&lt;IF($G201="",99999999,$G201)))+SUMPRODUCT(($J$2:$J201&gt;0)*($K$2:$K201="")*($A$2:$A201&lt;&gt;"")*((IF($G$2:$G201="",99999999,$G$2:$G201))=IF($G201="",99999999,$G201))),"")</f>
        <v/>
      </c>
      <c r="O201" s="0" t="str">
        <f aca="false">IF(AND($F201="Not Started",$A201&lt;&gt;""),SUMPRODUCT(($F$2:$F$600="Not Started")*($A$2:$A$600&lt;&gt;"")*((IF($G$2:$G$600="",99999999,$G$2:$G$600))&lt;IF($G201="",99999999,$G201)))+SUMPRODUCT(($F$2:$F201="Not Started")*($A$2:$A201&lt;&gt;"")*((IF($G$2:$G201="",99999999,$G$2:$G201))=IF($G201="",99999999,$G201))),"")</f>
        <v/>
      </c>
      <c r="P201" s="0" t="str">
        <f aca="false">IF(AND(OR($F201="In Progress",$F201="Pending Client Data",$F201="Under Review"),$A201&lt;&gt;""),SUMPRODUCT((($F$2:$F$600="In Progress")+($F$2:$F$600="Pending Client Data")+($F$2:$F$600="Under Review"))*($A$2:$A$600&lt;&gt;"")*((IF($G$2:$G$600="",99999999,$G$2:$G$600))&lt;IF($G201="",99999999,$G201)))+SUMPRODUCT((($F$2:$F201="In Progress")+($F$2:$F201="Pending Client Data")+($F$2:$F201="Under Review"))*($A$2:$A201&lt;&gt;"")*((IF($G$2:$G201="",99999999,$G$2:$G201))=IF($G201="",99999999,$G201))),"")</f>
        <v/>
      </c>
    </row>
    <row r="202" customFormat="false" ht="15" hidden="false" customHeight="false" outlineLevel="0" collapsed="false">
      <c r="A202" s="9"/>
      <c r="B202" s="9"/>
      <c r="C202" s="10" t="str">
        <f aca="false">IF($B202="","",IFERROR(INDEX('Client Master'!$C:$C,MATCH($B202,'Client Master'!$B:$B,0)),"Code not found"))</f>
        <v/>
      </c>
      <c r="D202" s="9"/>
      <c r="E202" s="9"/>
      <c r="F202" s="9"/>
      <c r="G202" s="11"/>
      <c r="H202" s="11"/>
      <c r="I202" s="9"/>
      <c r="J202" s="12"/>
      <c r="K202" s="11"/>
      <c r="L202" s="9"/>
      <c r="N202" s="0" t="str">
        <f aca="false">IF(AND($J202&gt;0,$K202="",$A202&lt;&gt;""),SUMPRODUCT(($J$2:$J$600&gt;0)*($K$2:$K$600="")*($A$2:$A$600&lt;&gt;"")*((IF($G$2:$G$600="",99999999,$G$2:$G$600))&lt;IF($G202="",99999999,$G202)))+SUMPRODUCT(($J$2:$J202&gt;0)*($K$2:$K202="")*($A$2:$A202&lt;&gt;"")*((IF($G$2:$G202="",99999999,$G$2:$G202))=IF($G202="",99999999,$G202))),"")</f>
        <v/>
      </c>
      <c r="O202" s="0" t="str">
        <f aca="false">IF(AND($F202="Not Started",$A202&lt;&gt;""),SUMPRODUCT(($F$2:$F$600="Not Started")*($A$2:$A$600&lt;&gt;"")*((IF($G$2:$G$600="",99999999,$G$2:$G$600))&lt;IF($G202="",99999999,$G202)))+SUMPRODUCT(($F$2:$F202="Not Started")*($A$2:$A202&lt;&gt;"")*((IF($G$2:$G202="",99999999,$G$2:$G202))=IF($G202="",99999999,$G202))),"")</f>
        <v/>
      </c>
      <c r="P202" s="0" t="str">
        <f aca="false">IF(AND(OR($F202="In Progress",$F202="Pending Client Data",$F202="Under Review"),$A202&lt;&gt;""),SUMPRODUCT((($F$2:$F$600="In Progress")+($F$2:$F$600="Pending Client Data")+($F$2:$F$600="Under Review"))*($A$2:$A$600&lt;&gt;"")*((IF($G$2:$G$600="",99999999,$G$2:$G$600))&lt;IF($G202="",99999999,$G202)))+SUMPRODUCT((($F$2:$F202="In Progress")+($F$2:$F202="Pending Client Data")+($F$2:$F202="Under Review"))*($A$2:$A202&lt;&gt;"")*((IF($G$2:$G202="",99999999,$G$2:$G202))=IF($G202="",99999999,$G202))),"")</f>
        <v/>
      </c>
    </row>
    <row r="203" customFormat="false" ht="15" hidden="false" customHeight="false" outlineLevel="0" collapsed="false">
      <c r="A203" s="9"/>
      <c r="B203" s="9"/>
      <c r="C203" s="10" t="str">
        <f aca="false">IF($B203="","",IFERROR(INDEX('Client Master'!$C:$C,MATCH($B203,'Client Master'!$B:$B,0)),"Code not found"))</f>
        <v/>
      </c>
      <c r="D203" s="9"/>
      <c r="E203" s="9"/>
      <c r="F203" s="9"/>
      <c r="G203" s="11"/>
      <c r="H203" s="11"/>
      <c r="I203" s="9"/>
      <c r="J203" s="12"/>
      <c r="K203" s="11"/>
      <c r="L203" s="9"/>
      <c r="N203" s="0" t="str">
        <f aca="false">IF(AND($J203&gt;0,$K203="",$A203&lt;&gt;""),SUMPRODUCT(($J$2:$J$600&gt;0)*($K$2:$K$600="")*($A$2:$A$600&lt;&gt;"")*((IF($G$2:$G$600="",99999999,$G$2:$G$600))&lt;IF($G203="",99999999,$G203)))+SUMPRODUCT(($J$2:$J203&gt;0)*($K$2:$K203="")*($A$2:$A203&lt;&gt;"")*((IF($G$2:$G203="",99999999,$G$2:$G203))=IF($G203="",99999999,$G203))),"")</f>
        <v/>
      </c>
      <c r="O203" s="0" t="str">
        <f aca="false">IF(AND($F203="Not Started",$A203&lt;&gt;""),SUMPRODUCT(($F$2:$F$600="Not Started")*($A$2:$A$600&lt;&gt;"")*((IF($G$2:$G$600="",99999999,$G$2:$G$600))&lt;IF($G203="",99999999,$G203)))+SUMPRODUCT(($F$2:$F203="Not Started")*($A$2:$A203&lt;&gt;"")*((IF($G$2:$G203="",99999999,$G$2:$G203))=IF($G203="",99999999,$G203))),"")</f>
        <v/>
      </c>
      <c r="P203" s="0" t="str">
        <f aca="false">IF(AND(OR($F203="In Progress",$F203="Pending Client Data",$F203="Under Review"),$A203&lt;&gt;""),SUMPRODUCT((($F$2:$F$600="In Progress")+($F$2:$F$600="Pending Client Data")+($F$2:$F$600="Under Review"))*($A$2:$A$600&lt;&gt;"")*((IF($G$2:$G$600="",99999999,$G$2:$G$600))&lt;IF($G203="",99999999,$G203)))+SUMPRODUCT((($F$2:$F203="In Progress")+($F$2:$F203="Pending Client Data")+($F$2:$F203="Under Review"))*($A$2:$A203&lt;&gt;"")*((IF($G$2:$G203="",99999999,$G$2:$G203))=IF($G203="",99999999,$G203))),"")</f>
        <v/>
      </c>
    </row>
    <row r="204" customFormat="false" ht="15" hidden="false" customHeight="false" outlineLevel="0" collapsed="false">
      <c r="A204" s="9"/>
      <c r="B204" s="9"/>
      <c r="C204" s="10" t="str">
        <f aca="false">IF($B204="","",IFERROR(INDEX('Client Master'!$C:$C,MATCH($B204,'Client Master'!$B:$B,0)),"Code not found"))</f>
        <v/>
      </c>
      <c r="D204" s="9"/>
      <c r="E204" s="9"/>
      <c r="F204" s="9"/>
      <c r="G204" s="11"/>
      <c r="H204" s="11"/>
      <c r="I204" s="9"/>
      <c r="J204" s="12"/>
      <c r="K204" s="11"/>
      <c r="L204" s="9"/>
      <c r="N204" s="0" t="str">
        <f aca="false">IF(AND($J204&gt;0,$K204="",$A204&lt;&gt;""),SUMPRODUCT(($J$2:$J$600&gt;0)*($K$2:$K$600="")*($A$2:$A$600&lt;&gt;"")*((IF($G$2:$G$600="",99999999,$G$2:$G$600))&lt;IF($G204="",99999999,$G204)))+SUMPRODUCT(($J$2:$J204&gt;0)*($K$2:$K204="")*($A$2:$A204&lt;&gt;"")*((IF($G$2:$G204="",99999999,$G$2:$G204))=IF($G204="",99999999,$G204))),"")</f>
        <v/>
      </c>
      <c r="O204" s="0" t="str">
        <f aca="false">IF(AND($F204="Not Started",$A204&lt;&gt;""),SUMPRODUCT(($F$2:$F$600="Not Started")*($A$2:$A$600&lt;&gt;"")*((IF($G$2:$G$600="",99999999,$G$2:$G$600))&lt;IF($G204="",99999999,$G204)))+SUMPRODUCT(($F$2:$F204="Not Started")*($A$2:$A204&lt;&gt;"")*((IF($G$2:$G204="",99999999,$G$2:$G204))=IF($G204="",99999999,$G204))),"")</f>
        <v/>
      </c>
      <c r="P204" s="0" t="str">
        <f aca="false">IF(AND(OR($F204="In Progress",$F204="Pending Client Data",$F204="Under Review"),$A204&lt;&gt;""),SUMPRODUCT((($F$2:$F$600="In Progress")+($F$2:$F$600="Pending Client Data")+($F$2:$F$600="Under Review"))*($A$2:$A$600&lt;&gt;"")*((IF($G$2:$G$600="",99999999,$G$2:$G$600))&lt;IF($G204="",99999999,$G204)))+SUMPRODUCT((($F$2:$F204="In Progress")+($F$2:$F204="Pending Client Data")+($F$2:$F204="Under Review"))*($A$2:$A204&lt;&gt;"")*((IF($G$2:$G204="",99999999,$G$2:$G204))=IF($G204="",99999999,$G204))),"")</f>
        <v/>
      </c>
    </row>
    <row r="205" customFormat="false" ht="15" hidden="false" customHeight="false" outlineLevel="0" collapsed="false">
      <c r="A205" s="9"/>
      <c r="B205" s="9"/>
      <c r="C205" s="10" t="str">
        <f aca="false">IF($B205="","",IFERROR(INDEX('Client Master'!$C:$C,MATCH($B205,'Client Master'!$B:$B,0)),"Code not found"))</f>
        <v/>
      </c>
      <c r="D205" s="9"/>
      <c r="E205" s="9"/>
      <c r="F205" s="9"/>
      <c r="G205" s="11"/>
      <c r="H205" s="11"/>
      <c r="I205" s="9"/>
      <c r="J205" s="12"/>
      <c r="K205" s="11"/>
      <c r="L205" s="9"/>
      <c r="N205" s="0" t="str">
        <f aca="false">IF(AND($J205&gt;0,$K205="",$A205&lt;&gt;""),SUMPRODUCT(($J$2:$J$600&gt;0)*($K$2:$K$600="")*($A$2:$A$600&lt;&gt;"")*((IF($G$2:$G$600="",99999999,$G$2:$G$600))&lt;IF($G205="",99999999,$G205)))+SUMPRODUCT(($J$2:$J205&gt;0)*($K$2:$K205="")*($A$2:$A205&lt;&gt;"")*((IF($G$2:$G205="",99999999,$G$2:$G205))=IF($G205="",99999999,$G205))),"")</f>
        <v/>
      </c>
      <c r="O205" s="0" t="str">
        <f aca="false">IF(AND($F205="Not Started",$A205&lt;&gt;""),SUMPRODUCT(($F$2:$F$600="Not Started")*($A$2:$A$600&lt;&gt;"")*((IF($G$2:$G$600="",99999999,$G$2:$G$600))&lt;IF($G205="",99999999,$G205)))+SUMPRODUCT(($F$2:$F205="Not Started")*($A$2:$A205&lt;&gt;"")*((IF($G$2:$G205="",99999999,$G$2:$G205))=IF($G205="",99999999,$G205))),"")</f>
        <v/>
      </c>
      <c r="P205" s="0" t="str">
        <f aca="false">IF(AND(OR($F205="In Progress",$F205="Pending Client Data",$F205="Under Review"),$A205&lt;&gt;""),SUMPRODUCT((($F$2:$F$600="In Progress")+($F$2:$F$600="Pending Client Data")+($F$2:$F$600="Under Review"))*($A$2:$A$600&lt;&gt;"")*((IF($G$2:$G$600="",99999999,$G$2:$G$600))&lt;IF($G205="",99999999,$G205)))+SUMPRODUCT((($F$2:$F205="In Progress")+($F$2:$F205="Pending Client Data")+($F$2:$F205="Under Review"))*($A$2:$A205&lt;&gt;"")*((IF($G$2:$G205="",99999999,$G$2:$G205))=IF($G205="",99999999,$G205))),"")</f>
        <v/>
      </c>
    </row>
    <row r="206" customFormat="false" ht="15" hidden="false" customHeight="false" outlineLevel="0" collapsed="false">
      <c r="A206" s="9"/>
      <c r="B206" s="9"/>
      <c r="C206" s="10" t="str">
        <f aca="false">IF($B206="","",IFERROR(INDEX('Client Master'!$C:$C,MATCH($B206,'Client Master'!$B:$B,0)),"Code not found"))</f>
        <v/>
      </c>
      <c r="D206" s="9"/>
      <c r="E206" s="9"/>
      <c r="F206" s="9"/>
      <c r="G206" s="11"/>
      <c r="H206" s="11"/>
      <c r="I206" s="9"/>
      <c r="J206" s="12"/>
      <c r="K206" s="11"/>
      <c r="L206" s="9"/>
      <c r="N206" s="0" t="str">
        <f aca="false">IF(AND($J206&gt;0,$K206="",$A206&lt;&gt;""),SUMPRODUCT(($J$2:$J$600&gt;0)*($K$2:$K$600="")*($A$2:$A$600&lt;&gt;"")*((IF($G$2:$G$600="",99999999,$G$2:$G$600))&lt;IF($G206="",99999999,$G206)))+SUMPRODUCT(($J$2:$J206&gt;0)*($K$2:$K206="")*($A$2:$A206&lt;&gt;"")*((IF($G$2:$G206="",99999999,$G$2:$G206))=IF($G206="",99999999,$G206))),"")</f>
        <v/>
      </c>
      <c r="O206" s="0" t="str">
        <f aca="false">IF(AND($F206="Not Started",$A206&lt;&gt;""),SUMPRODUCT(($F$2:$F$600="Not Started")*($A$2:$A$600&lt;&gt;"")*((IF($G$2:$G$600="",99999999,$G$2:$G$600))&lt;IF($G206="",99999999,$G206)))+SUMPRODUCT(($F$2:$F206="Not Started")*($A$2:$A206&lt;&gt;"")*((IF($G$2:$G206="",99999999,$G$2:$G206))=IF($G206="",99999999,$G206))),"")</f>
        <v/>
      </c>
      <c r="P206" s="0" t="str">
        <f aca="false">IF(AND(OR($F206="In Progress",$F206="Pending Client Data",$F206="Under Review"),$A206&lt;&gt;""),SUMPRODUCT((($F$2:$F$600="In Progress")+($F$2:$F$600="Pending Client Data")+($F$2:$F$600="Under Review"))*($A$2:$A$600&lt;&gt;"")*((IF($G$2:$G$600="",99999999,$G$2:$G$600))&lt;IF($G206="",99999999,$G206)))+SUMPRODUCT((($F$2:$F206="In Progress")+($F$2:$F206="Pending Client Data")+($F$2:$F206="Under Review"))*($A$2:$A206&lt;&gt;"")*((IF($G$2:$G206="",99999999,$G$2:$G206))=IF($G206="",99999999,$G206))),"")</f>
        <v/>
      </c>
    </row>
    <row r="207" customFormat="false" ht="15" hidden="false" customHeight="false" outlineLevel="0" collapsed="false">
      <c r="A207" s="9"/>
      <c r="B207" s="9"/>
      <c r="C207" s="10" t="str">
        <f aca="false">IF($B207="","",IFERROR(INDEX('Client Master'!$C:$C,MATCH($B207,'Client Master'!$B:$B,0)),"Code not found"))</f>
        <v/>
      </c>
      <c r="D207" s="9"/>
      <c r="E207" s="9"/>
      <c r="F207" s="9"/>
      <c r="G207" s="11"/>
      <c r="H207" s="11"/>
      <c r="I207" s="9"/>
      <c r="J207" s="12"/>
      <c r="K207" s="11"/>
      <c r="L207" s="9"/>
      <c r="N207" s="0" t="str">
        <f aca="false">IF(AND($J207&gt;0,$K207="",$A207&lt;&gt;""),SUMPRODUCT(($J$2:$J$600&gt;0)*($K$2:$K$600="")*($A$2:$A$600&lt;&gt;"")*((IF($G$2:$G$600="",99999999,$G$2:$G$600))&lt;IF($G207="",99999999,$G207)))+SUMPRODUCT(($J$2:$J207&gt;0)*($K$2:$K207="")*($A$2:$A207&lt;&gt;"")*((IF($G$2:$G207="",99999999,$G$2:$G207))=IF($G207="",99999999,$G207))),"")</f>
        <v/>
      </c>
      <c r="O207" s="0" t="str">
        <f aca="false">IF(AND($F207="Not Started",$A207&lt;&gt;""),SUMPRODUCT(($F$2:$F$600="Not Started")*($A$2:$A$600&lt;&gt;"")*((IF($G$2:$G$600="",99999999,$G$2:$G$600))&lt;IF($G207="",99999999,$G207)))+SUMPRODUCT(($F$2:$F207="Not Started")*($A$2:$A207&lt;&gt;"")*((IF($G$2:$G207="",99999999,$G$2:$G207))=IF($G207="",99999999,$G207))),"")</f>
        <v/>
      </c>
      <c r="P207" s="0" t="str">
        <f aca="false">IF(AND(OR($F207="In Progress",$F207="Pending Client Data",$F207="Under Review"),$A207&lt;&gt;""),SUMPRODUCT((($F$2:$F$600="In Progress")+($F$2:$F$600="Pending Client Data")+($F$2:$F$600="Under Review"))*($A$2:$A$600&lt;&gt;"")*((IF($G$2:$G$600="",99999999,$G$2:$G$600))&lt;IF($G207="",99999999,$G207)))+SUMPRODUCT((($F$2:$F207="In Progress")+($F$2:$F207="Pending Client Data")+($F$2:$F207="Under Review"))*($A$2:$A207&lt;&gt;"")*((IF($G$2:$G207="",99999999,$G$2:$G207))=IF($G207="",99999999,$G207))),"")</f>
        <v/>
      </c>
    </row>
    <row r="208" customFormat="false" ht="15" hidden="false" customHeight="false" outlineLevel="0" collapsed="false">
      <c r="A208" s="9"/>
      <c r="B208" s="9"/>
      <c r="C208" s="10" t="str">
        <f aca="false">IF($B208="","",IFERROR(INDEX('Client Master'!$C:$C,MATCH($B208,'Client Master'!$B:$B,0)),"Code not found"))</f>
        <v/>
      </c>
      <c r="D208" s="9"/>
      <c r="E208" s="9"/>
      <c r="F208" s="9"/>
      <c r="G208" s="11"/>
      <c r="H208" s="11"/>
      <c r="I208" s="9"/>
      <c r="J208" s="12"/>
      <c r="K208" s="11"/>
      <c r="L208" s="9"/>
      <c r="N208" s="0" t="str">
        <f aca="false">IF(AND($J208&gt;0,$K208="",$A208&lt;&gt;""),SUMPRODUCT(($J$2:$J$600&gt;0)*($K$2:$K$600="")*($A$2:$A$600&lt;&gt;"")*((IF($G$2:$G$600="",99999999,$G$2:$G$600))&lt;IF($G208="",99999999,$G208)))+SUMPRODUCT(($J$2:$J208&gt;0)*($K$2:$K208="")*($A$2:$A208&lt;&gt;"")*((IF($G$2:$G208="",99999999,$G$2:$G208))=IF($G208="",99999999,$G208))),"")</f>
        <v/>
      </c>
      <c r="O208" s="0" t="str">
        <f aca="false">IF(AND($F208="Not Started",$A208&lt;&gt;""),SUMPRODUCT(($F$2:$F$600="Not Started")*($A$2:$A$600&lt;&gt;"")*((IF($G$2:$G$600="",99999999,$G$2:$G$600))&lt;IF($G208="",99999999,$G208)))+SUMPRODUCT(($F$2:$F208="Not Started")*($A$2:$A208&lt;&gt;"")*((IF($G$2:$G208="",99999999,$G$2:$G208))=IF($G208="",99999999,$G208))),"")</f>
        <v/>
      </c>
      <c r="P208" s="0" t="str">
        <f aca="false">IF(AND(OR($F208="In Progress",$F208="Pending Client Data",$F208="Under Review"),$A208&lt;&gt;""),SUMPRODUCT((($F$2:$F$600="In Progress")+($F$2:$F$600="Pending Client Data")+($F$2:$F$600="Under Review"))*($A$2:$A$600&lt;&gt;"")*((IF($G$2:$G$600="",99999999,$G$2:$G$600))&lt;IF($G208="",99999999,$G208)))+SUMPRODUCT((($F$2:$F208="In Progress")+($F$2:$F208="Pending Client Data")+($F$2:$F208="Under Review"))*($A$2:$A208&lt;&gt;"")*((IF($G$2:$G208="",99999999,$G$2:$G208))=IF($G208="",99999999,$G208))),"")</f>
        <v/>
      </c>
    </row>
    <row r="209" customFormat="false" ht="15" hidden="false" customHeight="false" outlineLevel="0" collapsed="false">
      <c r="A209" s="9"/>
      <c r="B209" s="9"/>
      <c r="C209" s="10" t="str">
        <f aca="false">IF($B209="","",IFERROR(INDEX('Client Master'!$C:$C,MATCH($B209,'Client Master'!$B:$B,0)),"Code not found"))</f>
        <v/>
      </c>
      <c r="D209" s="9"/>
      <c r="E209" s="9"/>
      <c r="F209" s="9"/>
      <c r="G209" s="11"/>
      <c r="H209" s="11"/>
      <c r="I209" s="9"/>
      <c r="J209" s="12"/>
      <c r="K209" s="11"/>
      <c r="L209" s="9"/>
      <c r="N209" s="0" t="str">
        <f aca="false">IF(AND($J209&gt;0,$K209="",$A209&lt;&gt;""),SUMPRODUCT(($J$2:$J$600&gt;0)*($K$2:$K$600="")*($A$2:$A$600&lt;&gt;"")*((IF($G$2:$G$600="",99999999,$G$2:$G$600))&lt;IF($G209="",99999999,$G209)))+SUMPRODUCT(($J$2:$J209&gt;0)*($K$2:$K209="")*($A$2:$A209&lt;&gt;"")*((IF($G$2:$G209="",99999999,$G$2:$G209))=IF($G209="",99999999,$G209))),"")</f>
        <v/>
      </c>
      <c r="O209" s="0" t="str">
        <f aca="false">IF(AND($F209="Not Started",$A209&lt;&gt;""),SUMPRODUCT(($F$2:$F$600="Not Started")*($A$2:$A$600&lt;&gt;"")*((IF($G$2:$G$600="",99999999,$G$2:$G$600))&lt;IF($G209="",99999999,$G209)))+SUMPRODUCT(($F$2:$F209="Not Started")*($A$2:$A209&lt;&gt;"")*((IF($G$2:$G209="",99999999,$G$2:$G209))=IF($G209="",99999999,$G209))),"")</f>
        <v/>
      </c>
      <c r="P209" s="0" t="str">
        <f aca="false">IF(AND(OR($F209="In Progress",$F209="Pending Client Data",$F209="Under Review"),$A209&lt;&gt;""),SUMPRODUCT((($F$2:$F$600="In Progress")+($F$2:$F$600="Pending Client Data")+($F$2:$F$600="Under Review"))*($A$2:$A$600&lt;&gt;"")*((IF($G$2:$G$600="",99999999,$G$2:$G$600))&lt;IF($G209="",99999999,$G209)))+SUMPRODUCT((($F$2:$F209="In Progress")+($F$2:$F209="Pending Client Data")+($F$2:$F209="Under Review"))*($A$2:$A209&lt;&gt;"")*((IF($G$2:$G209="",99999999,$G$2:$G209))=IF($G209="",99999999,$G209))),"")</f>
        <v/>
      </c>
    </row>
    <row r="210" customFormat="false" ht="15" hidden="false" customHeight="false" outlineLevel="0" collapsed="false">
      <c r="A210" s="9"/>
      <c r="B210" s="9"/>
      <c r="C210" s="10" t="str">
        <f aca="false">IF($B210="","",IFERROR(INDEX('Client Master'!$C:$C,MATCH($B210,'Client Master'!$B:$B,0)),"Code not found"))</f>
        <v/>
      </c>
      <c r="D210" s="9"/>
      <c r="E210" s="9"/>
      <c r="F210" s="9"/>
      <c r="G210" s="11"/>
      <c r="H210" s="11"/>
      <c r="I210" s="9"/>
      <c r="J210" s="12"/>
      <c r="K210" s="11"/>
      <c r="L210" s="9"/>
      <c r="N210" s="0" t="str">
        <f aca="false">IF(AND($J210&gt;0,$K210="",$A210&lt;&gt;""),SUMPRODUCT(($J$2:$J$600&gt;0)*($K$2:$K$600="")*($A$2:$A$600&lt;&gt;"")*((IF($G$2:$G$600="",99999999,$G$2:$G$600))&lt;IF($G210="",99999999,$G210)))+SUMPRODUCT(($J$2:$J210&gt;0)*($K$2:$K210="")*($A$2:$A210&lt;&gt;"")*((IF($G$2:$G210="",99999999,$G$2:$G210))=IF($G210="",99999999,$G210))),"")</f>
        <v/>
      </c>
      <c r="O210" s="0" t="str">
        <f aca="false">IF(AND($F210="Not Started",$A210&lt;&gt;""),SUMPRODUCT(($F$2:$F$600="Not Started")*($A$2:$A$600&lt;&gt;"")*((IF($G$2:$G$600="",99999999,$G$2:$G$600))&lt;IF($G210="",99999999,$G210)))+SUMPRODUCT(($F$2:$F210="Not Started")*($A$2:$A210&lt;&gt;"")*((IF($G$2:$G210="",99999999,$G$2:$G210))=IF($G210="",99999999,$G210))),"")</f>
        <v/>
      </c>
      <c r="P210" s="0" t="str">
        <f aca="false">IF(AND(OR($F210="In Progress",$F210="Pending Client Data",$F210="Under Review"),$A210&lt;&gt;""),SUMPRODUCT((($F$2:$F$600="In Progress")+($F$2:$F$600="Pending Client Data")+($F$2:$F$600="Under Review"))*($A$2:$A$600&lt;&gt;"")*((IF($G$2:$G$600="",99999999,$G$2:$G$600))&lt;IF($G210="",99999999,$G210)))+SUMPRODUCT((($F$2:$F210="In Progress")+($F$2:$F210="Pending Client Data")+($F$2:$F210="Under Review"))*($A$2:$A210&lt;&gt;"")*((IF($G$2:$G210="",99999999,$G$2:$G210))=IF($G210="",99999999,$G210))),"")</f>
        <v/>
      </c>
    </row>
    <row r="211" customFormat="false" ht="15" hidden="false" customHeight="false" outlineLevel="0" collapsed="false">
      <c r="A211" s="9"/>
      <c r="B211" s="9"/>
      <c r="C211" s="10" t="str">
        <f aca="false">IF($B211="","",IFERROR(INDEX('Client Master'!$C:$C,MATCH($B211,'Client Master'!$B:$B,0)),"Code not found"))</f>
        <v/>
      </c>
      <c r="D211" s="9"/>
      <c r="E211" s="9"/>
      <c r="F211" s="9"/>
      <c r="G211" s="11"/>
      <c r="H211" s="11"/>
      <c r="I211" s="9"/>
      <c r="J211" s="12"/>
      <c r="K211" s="11"/>
      <c r="L211" s="9"/>
      <c r="N211" s="0" t="str">
        <f aca="false">IF(AND($J211&gt;0,$K211="",$A211&lt;&gt;""),SUMPRODUCT(($J$2:$J$600&gt;0)*($K$2:$K$600="")*($A$2:$A$600&lt;&gt;"")*((IF($G$2:$G$600="",99999999,$G$2:$G$600))&lt;IF($G211="",99999999,$G211)))+SUMPRODUCT(($J$2:$J211&gt;0)*($K$2:$K211="")*($A$2:$A211&lt;&gt;"")*((IF($G$2:$G211="",99999999,$G$2:$G211))=IF($G211="",99999999,$G211))),"")</f>
        <v/>
      </c>
      <c r="O211" s="0" t="str">
        <f aca="false">IF(AND($F211="Not Started",$A211&lt;&gt;""),SUMPRODUCT(($F$2:$F$600="Not Started")*($A$2:$A$600&lt;&gt;"")*((IF($G$2:$G$600="",99999999,$G$2:$G$600))&lt;IF($G211="",99999999,$G211)))+SUMPRODUCT(($F$2:$F211="Not Started")*($A$2:$A211&lt;&gt;"")*((IF($G$2:$G211="",99999999,$G$2:$G211))=IF($G211="",99999999,$G211))),"")</f>
        <v/>
      </c>
      <c r="P211" s="0" t="str">
        <f aca="false">IF(AND(OR($F211="In Progress",$F211="Pending Client Data",$F211="Under Review"),$A211&lt;&gt;""),SUMPRODUCT((($F$2:$F$600="In Progress")+($F$2:$F$600="Pending Client Data")+($F$2:$F$600="Under Review"))*($A$2:$A$600&lt;&gt;"")*((IF($G$2:$G$600="",99999999,$G$2:$G$600))&lt;IF($G211="",99999999,$G211)))+SUMPRODUCT((($F$2:$F211="In Progress")+($F$2:$F211="Pending Client Data")+($F$2:$F211="Under Review"))*($A$2:$A211&lt;&gt;"")*((IF($G$2:$G211="",99999999,$G$2:$G211))=IF($G211="",99999999,$G211))),"")</f>
        <v/>
      </c>
    </row>
    <row r="212" customFormat="false" ht="15" hidden="false" customHeight="false" outlineLevel="0" collapsed="false">
      <c r="A212" s="9"/>
      <c r="B212" s="9"/>
      <c r="C212" s="10" t="str">
        <f aca="false">IF($B212="","",IFERROR(INDEX('Client Master'!$C:$C,MATCH($B212,'Client Master'!$B:$B,0)),"Code not found"))</f>
        <v/>
      </c>
      <c r="D212" s="9"/>
      <c r="E212" s="9"/>
      <c r="F212" s="9"/>
      <c r="G212" s="11"/>
      <c r="H212" s="11"/>
      <c r="I212" s="9"/>
      <c r="J212" s="12"/>
      <c r="K212" s="11"/>
      <c r="L212" s="9"/>
      <c r="N212" s="0" t="str">
        <f aca="false">IF(AND($J212&gt;0,$K212="",$A212&lt;&gt;""),SUMPRODUCT(($J$2:$J$600&gt;0)*($K$2:$K$600="")*($A$2:$A$600&lt;&gt;"")*((IF($G$2:$G$600="",99999999,$G$2:$G$600))&lt;IF($G212="",99999999,$G212)))+SUMPRODUCT(($J$2:$J212&gt;0)*($K$2:$K212="")*($A$2:$A212&lt;&gt;"")*((IF($G$2:$G212="",99999999,$G$2:$G212))=IF($G212="",99999999,$G212))),"")</f>
        <v/>
      </c>
      <c r="O212" s="0" t="str">
        <f aca="false">IF(AND($F212="Not Started",$A212&lt;&gt;""),SUMPRODUCT(($F$2:$F$600="Not Started")*($A$2:$A$600&lt;&gt;"")*((IF($G$2:$G$600="",99999999,$G$2:$G$600))&lt;IF($G212="",99999999,$G212)))+SUMPRODUCT(($F$2:$F212="Not Started")*($A$2:$A212&lt;&gt;"")*((IF($G$2:$G212="",99999999,$G$2:$G212))=IF($G212="",99999999,$G212))),"")</f>
        <v/>
      </c>
      <c r="P212" s="0" t="str">
        <f aca="false">IF(AND(OR($F212="In Progress",$F212="Pending Client Data",$F212="Under Review"),$A212&lt;&gt;""),SUMPRODUCT((($F$2:$F$600="In Progress")+($F$2:$F$600="Pending Client Data")+($F$2:$F$600="Under Review"))*($A$2:$A$600&lt;&gt;"")*((IF($G$2:$G$600="",99999999,$G$2:$G$600))&lt;IF($G212="",99999999,$G212)))+SUMPRODUCT((($F$2:$F212="In Progress")+($F$2:$F212="Pending Client Data")+($F$2:$F212="Under Review"))*($A$2:$A212&lt;&gt;"")*((IF($G$2:$G212="",99999999,$G$2:$G212))=IF($G212="",99999999,$G212))),"")</f>
        <v/>
      </c>
    </row>
    <row r="213" customFormat="false" ht="15" hidden="false" customHeight="false" outlineLevel="0" collapsed="false">
      <c r="A213" s="9"/>
      <c r="B213" s="9"/>
      <c r="C213" s="10" t="str">
        <f aca="false">IF($B213="","",IFERROR(INDEX('Client Master'!$C:$C,MATCH($B213,'Client Master'!$B:$B,0)),"Code not found"))</f>
        <v/>
      </c>
      <c r="D213" s="9"/>
      <c r="E213" s="9"/>
      <c r="F213" s="9"/>
      <c r="G213" s="11"/>
      <c r="H213" s="11"/>
      <c r="I213" s="9"/>
      <c r="J213" s="12"/>
      <c r="K213" s="11"/>
      <c r="L213" s="9"/>
      <c r="N213" s="0" t="str">
        <f aca="false">IF(AND($J213&gt;0,$K213="",$A213&lt;&gt;""),SUMPRODUCT(($J$2:$J$600&gt;0)*($K$2:$K$600="")*($A$2:$A$600&lt;&gt;"")*((IF($G$2:$G$600="",99999999,$G$2:$G$600))&lt;IF($G213="",99999999,$G213)))+SUMPRODUCT(($J$2:$J213&gt;0)*($K$2:$K213="")*($A$2:$A213&lt;&gt;"")*((IF($G$2:$G213="",99999999,$G$2:$G213))=IF($G213="",99999999,$G213))),"")</f>
        <v/>
      </c>
      <c r="O213" s="0" t="str">
        <f aca="false">IF(AND($F213="Not Started",$A213&lt;&gt;""),SUMPRODUCT(($F$2:$F$600="Not Started")*($A$2:$A$600&lt;&gt;"")*((IF($G$2:$G$600="",99999999,$G$2:$G$600))&lt;IF($G213="",99999999,$G213)))+SUMPRODUCT(($F$2:$F213="Not Started")*($A$2:$A213&lt;&gt;"")*((IF($G$2:$G213="",99999999,$G$2:$G213))=IF($G213="",99999999,$G213))),"")</f>
        <v/>
      </c>
      <c r="P213" s="0" t="str">
        <f aca="false">IF(AND(OR($F213="In Progress",$F213="Pending Client Data",$F213="Under Review"),$A213&lt;&gt;""),SUMPRODUCT((($F$2:$F$600="In Progress")+($F$2:$F$600="Pending Client Data")+($F$2:$F$600="Under Review"))*($A$2:$A$600&lt;&gt;"")*((IF($G$2:$G$600="",99999999,$G$2:$G$600))&lt;IF($G213="",99999999,$G213)))+SUMPRODUCT((($F$2:$F213="In Progress")+($F$2:$F213="Pending Client Data")+($F$2:$F213="Under Review"))*($A$2:$A213&lt;&gt;"")*((IF($G$2:$G213="",99999999,$G$2:$G213))=IF($G213="",99999999,$G213))),"")</f>
        <v/>
      </c>
    </row>
    <row r="214" customFormat="false" ht="15" hidden="false" customHeight="false" outlineLevel="0" collapsed="false">
      <c r="A214" s="9"/>
      <c r="B214" s="9"/>
      <c r="C214" s="10" t="str">
        <f aca="false">IF($B214="","",IFERROR(INDEX('Client Master'!$C:$C,MATCH($B214,'Client Master'!$B:$B,0)),"Code not found"))</f>
        <v/>
      </c>
      <c r="D214" s="9"/>
      <c r="E214" s="9"/>
      <c r="F214" s="9"/>
      <c r="G214" s="11"/>
      <c r="H214" s="11"/>
      <c r="I214" s="9"/>
      <c r="J214" s="12"/>
      <c r="K214" s="11"/>
      <c r="L214" s="9"/>
      <c r="N214" s="0" t="str">
        <f aca="false">IF(AND($J214&gt;0,$K214="",$A214&lt;&gt;""),SUMPRODUCT(($J$2:$J$600&gt;0)*($K$2:$K$600="")*($A$2:$A$600&lt;&gt;"")*((IF($G$2:$G$600="",99999999,$G$2:$G$600))&lt;IF($G214="",99999999,$G214)))+SUMPRODUCT(($J$2:$J214&gt;0)*($K$2:$K214="")*($A$2:$A214&lt;&gt;"")*((IF($G$2:$G214="",99999999,$G$2:$G214))=IF($G214="",99999999,$G214))),"")</f>
        <v/>
      </c>
      <c r="O214" s="0" t="str">
        <f aca="false">IF(AND($F214="Not Started",$A214&lt;&gt;""),SUMPRODUCT(($F$2:$F$600="Not Started")*($A$2:$A$600&lt;&gt;"")*((IF($G$2:$G$600="",99999999,$G$2:$G$600))&lt;IF($G214="",99999999,$G214)))+SUMPRODUCT(($F$2:$F214="Not Started")*($A$2:$A214&lt;&gt;"")*((IF($G$2:$G214="",99999999,$G$2:$G214))=IF($G214="",99999999,$G214))),"")</f>
        <v/>
      </c>
      <c r="P214" s="0" t="str">
        <f aca="false">IF(AND(OR($F214="In Progress",$F214="Pending Client Data",$F214="Under Review"),$A214&lt;&gt;""),SUMPRODUCT((($F$2:$F$600="In Progress")+($F$2:$F$600="Pending Client Data")+($F$2:$F$600="Under Review"))*($A$2:$A$600&lt;&gt;"")*((IF($G$2:$G$600="",99999999,$G$2:$G$600))&lt;IF($G214="",99999999,$G214)))+SUMPRODUCT((($F$2:$F214="In Progress")+($F$2:$F214="Pending Client Data")+($F$2:$F214="Under Review"))*($A$2:$A214&lt;&gt;"")*((IF($G$2:$G214="",99999999,$G$2:$G214))=IF($G214="",99999999,$G214))),"")</f>
        <v/>
      </c>
    </row>
    <row r="215" customFormat="false" ht="15" hidden="false" customHeight="false" outlineLevel="0" collapsed="false">
      <c r="A215" s="9"/>
      <c r="B215" s="9"/>
      <c r="C215" s="10" t="str">
        <f aca="false">IF($B215="","",IFERROR(INDEX('Client Master'!$C:$C,MATCH($B215,'Client Master'!$B:$B,0)),"Code not found"))</f>
        <v/>
      </c>
      <c r="D215" s="9"/>
      <c r="E215" s="9"/>
      <c r="F215" s="9"/>
      <c r="G215" s="11"/>
      <c r="H215" s="11"/>
      <c r="I215" s="9"/>
      <c r="J215" s="12"/>
      <c r="K215" s="11"/>
      <c r="L215" s="9"/>
      <c r="N215" s="0" t="str">
        <f aca="false">IF(AND($J215&gt;0,$K215="",$A215&lt;&gt;""),SUMPRODUCT(($J$2:$J$600&gt;0)*($K$2:$K$600="")*($A$2:$A$600&lt;&gt;"")*((IF($G$2:$G$600="",99999999,$G$2:$G$600))&lt;IF($G215="",99999999,$G215)))+SUMPRODUCT(($J$2:$J215&gt;0)*($K$2:$K215="")*($A$2:$A215&lt;&gt;"")*((IF($G$2:$G215="",99999999,$G$2:$G215))=IF($G215="",99999999,$G215))),"")</f>
        <v/>
      </c>
      <c r="O215" s="0" t="str">
        <f aca="false">IF(AND($F215="Not Started",$A215&lt;&gt;""),SUMPRODUCT(($F$2:$F$600="Not Started")*($A$2:$A$600&lt;&gt;"")*((IF($G$2:$G$600="",99999999,$G$2:$G$600))&lt;IF($G215="",99999999,$G215)))+SUMPRODUCT(($F$2:$F215="Not Started")*($A$2:$A215&lt;&gt;"")*((IF($G$2:$G215="",99999999,$G$2:$G215))=IF($G215="",99999999,$G215))),"")</f>
        <v/>
      </c>
      <c r="P215" s="0" t="str">
        <f aca="false">IF(AND(OR($F215="In Progress",$F215="Pending Client Data",$F215="Under Review"),$A215&lt;&gt;""),SUMPRODUCT((($F$2:$F$600="In Progress")+($F$2:$F$600="Pending Client Data")+($F$2:$F$600="Under Review"))*($A$2:$A$600&lt;&gt;"")*((IF($G$2:$G$600="",99999999,$G$2:$G$600))&lt;IF($G215="",99999999,$G215)))+SUMPRODUCT((($F$2:$F215="In Progress")+($F$2:$F215="Pending Client Data")+($F$2:$F215="Under Review"))*($A$2:$A215&lt;&gt;"")*((IF($G$2:$G215="",99999999,$G$2:$G215))=IF($G215="",99999999,$G215))),"")</f>
        <v/>
      </c>
    </row>
    <row r="216" customFormat="false" ht="15" hidden="false" customHeight="false" outlineLevel="0" collapsed="false">
      <c r="A216" s="9"/>
      <c r="B216" s="9"/>
      <c r="C216" s="10" t="str">
        <f aca="false">IF($B216="","",IFERROR(INDEX('Client Master'!$C:$C,MATCH($B216,'Client Master'!$B:$B,0)),"Code not found"))</f>
        <v/>
      </c>
      <c r="D216" s="9"/>
      <c r="E216" s="9"/>
      <c r="F216" s="9"/>
      <c r="G216" s="11"/>
      <c r="H216" s="11"/>
      <c r="I216" s="9"/>
      <c r="J216" s="12"/>
      <c r="K216" s="11"/>
      <c r="L216" s="9"/>
      <c r="N216" s="0" t="str">
        <f aca="false">IF(AND($J216&gt;0,$K216="",$A216&lt;&gt;""),SUMPRODUCT(($J$2:$J$600&gt;0)*($K$2:$K$600="")*($A$2:$A$600&lt;&gt;"")*((IF($G$2:$G$600="",99999999,$G$2:$G$600))&lt;IF($G216="",99999999,$G216)))+SUMPRODUCT(($J$2:$J216&gt;0)*($K$2:$K216="")*($A$2:$A216&lt;&gt;"")*((IF($G$2:$G216="",99999999,$G$2:$G216))=IF($G216="",99999999,$G216))),"")</f>
        <v/>
      </c>
      <c r="O216" s="0" t="str">
        <f aca="false">IF(AND($F216="Not Started",$A216&lt;&gt;""),SUMPRODUCT(($F$2:$F$600="Not Started")*($A$2:$A$600&lt;&gt;"")*((IF($G$2:$G$600="",99999999,$G$2:$G$600))&lt;IF($G216="",99999999,$G216)))+SUMPRODUCT(($F$2:$F216="Not Started")*($A$2:$A216&lt;&gt;"")*((IF($G$2:$G216="",99999999,$G$2:$G216))=IF($G216="",99999999,$G216))),"")</f>
        <v/>
      </c>
      <c r="P216" s="0" t="str">
        <f aca="false">IF(AND(OR($F216="In Progress",$F216="Pending Client Data",$F216="Under Review"),$A216&lt;&gt;""),SUMPRODUCT((($F$2:$F$600="In Progress")+($F$2:$F$600="Pending Client Data")+($F$2:$F$600="Under Review"))*($A$2:$A$600&lt;&gt;"")*((IF($G$2:$G$600="",99999999,$G$2:$G$600))&lt;IF($G216="",99999999,$G216)))+SUMPRODUCT((($F$2:$F216="In Progress")+($F$2:$F216="Pending Client Data")+($F$2:$F216="Under Review"))*($A$2:$A216&lt;&gt;"")*((IF($G$2:$G216="",99999999,$G$2:$G216))=IF($G216="",99999999,$G216))),"")</f>
        <v/>
      </c>
    </row>
    <row r="217" customFormat="false" ht="15" hidden="false" customHeight="false" outlineLevel="0" collapsed="false">
      <c r="A217" s="9"/>
      <c r="B217" s="9"/>
      <c r="C217" s="10" t="str">
        <f aca="false">IF($B217="","",IFERROR(INDEX('Client Master'!$C:$C,MATCH($B217,'Client Master'!$B:$B,0)),"Code not found"))</f>
        <v/>
      </c>
      <c r="D217" s="9"/>
      <c r="E217" s="9"/>
      <c r="F217" s="9"/>
      <c r="G217" s="11"/>
      <c r="H217" s="11"/>
      <c r="I217" s="9"/>
      <c r="J217" s="12"/>
      <c r="K217" s="11"/>
      <c r="L217" s="9"/>
      <c r="N217" s="0" t="str">
        <f aca="false">IF(AND($J217&gt;0,$K217="",$A217&lt;&gt;""),SUMPRODUCT(($J$2:$J$600&gt;0)*($K$2:$K$600="")*($A$2:$A$600&lt;&gt;"")*((IF($G$2:$G$600="",99999999,$G$2:$G$600))&lt;IF($G217="",99999999,$G217)))+SUMPRODUCT(($J$2:$J217&gt;0)*($K$2:$K217="")*($A$2:$A217&lt;&gt;"")*((IF($G$2:$G217="",99999999,$G$2:$G217))=IF($G217="",99999999,$G217))),"")</f>
        <v/>
      </c>
      <c r="O217" s="0" t="str">
        <f aca="false">IF(AND($F217="Not Started",$A217&lt;&gt;""),SUMPRODUCT(($F$2:$F$600="Not Started")*($A$2:$A$600&lt;&gt;"")*((IF($G$2:$G$600="",99999999,$G$2:$G$600))&lt;IF($G217="",99999999,$G217)))+SUMPRODUCT(($F$2:$F217="Not Started")*($A$2:$A217&lt;&gt;"")*((IF($G$2:$G217="",99999999,$G$2:$G217))=IF($G217="",99999999,$G217))),"")</f>
        <v/>
      </c>
      <c r="P217" s="0" t="str">
        <f aca="false">IF(AND(OR($F217="In Progress",$F217="Pending Client Data",$F217="Under Review"),$A217&lt;&gt;""),SUMPRODUCT((($F$2:$F$600="In Progress")+($F$2:$F$600="Pending Client Data")+($F$2:$F$600="Under Review"))*($A$2:$A$600&lt;&gt;"")*((IF($G$2:$G$600="",99999999,$G$2:$G$600))&lt;IF($G217="",99999999,$G217)))+SUMPRODUCT((($F$2:$F217="In Progress")+($F$2:$F217="Pending Client Data")+($F$2:$F217="Under Review"))*($A$2:$A217&lt;&gt;"")*((IF($G$2:$G217="",99999999,$G$2:$G217))=IF($G217="",99999999,$G217))),"")</f>
        <v/>
      </c>
    </row>
    <row r="218" customFormat="false" ht="15" hidden="false" customHeight="false" outlineLevel="0" collapsed="false">
      <c r="A218" s="9"/>
      <c r="B218" s="9"/>
      <c r="C218" s="10" t="str">
        <f aca="false">IF($B218="","",IFERROR(INDEX('Client Master'!$C:$C,MATCH($B218,'Client Master'!$B:$B,0)),"Code not found"))</f>
        <v/>
      </c>
      <c r="D218" s="9"/>
      <c r="E218" s="9"/>
      <c r="F218" s="9"/>
      <c r="G218" s="11"/>
      <c r="H218" s="11"/>
      <c r="I218" s="9"/>
      <c r="J218" s="12"/>
      <c r="K218" s="11"/>
      <c r="L218" s="9"/>
      <c r="N218" s="0" t="str">
        <f aca="false">IF(AND($J218&gt;0,$K218="",$A218&lt;&gt;""),SUMPRODUCT(($J$2:$J$600&gt;0)*($K$2:$K$600="")*($A$2:$A$600&lt;&gt;"")*((IF($G$2:$G$600="",99999999,$G$2:$G$600))&lt;IF($G218="",99999999,$G218)))+SUMPRODUCT(($J$2:$J218&gt;0)*($K$2:$K218="")*($A$2:$A218&lt;&gt;"")*((IF($G$2:$G218="",99999999,$G$2:$G218))=IF($G218="",99999999,$G218))),"")</f>
        <v/>
      </c>
      <c r="O218" s="0" t="str">
        <f aca="false">IF(AND($F218="Not Started",$A218&lt;&gt;""),SUMPRODUCT(($F$2:$F$600="Not Started")*($A$2:$A$600&lt;&gt;"")*((IF($G$2:$G$600="",99999999,$G$2:$G$600))&lt;IF($G218="",99999999,$G218)))+SUMPRODUCT(($F$2:$F218="Not Started")*($A$2:$A218&lt;&gt;"")*((IF($G$2:$G218="",99999999,$G$2:$G218))=IF($G218="",99999999,$G218))),"")</f>
        <v/>
      </c>
      <c r="P218" s="0" t="str">
        <f aca="false">IF(AND(OR($F218="In Progress",$F218="Pending Client Data",$F218="Under Review"),$A218&lt;&gt;""),SUMPRODUCT((($F$2:$F$600="In Progress")+($F$2:$F$600="Pending Client Data")+($F$2:$F$600="Under Review"))*($A$2:$A$600&lt;&gt;"")*((IF($G$2:$G$600="",99999999,$G$2:$G$600))&lt;IF($G218="",99999999,$G218)))+SUMPRODUCT((($F$2:$F218="In Progress")+($F$2:$F218="Pending Client Data")+($F$2:$F218="Under Review"))*($A$2:$A218&lt;&gt;"")*((IF($G$2:$G218="",99999999,$G$2:$G218))=IF($G218="",99999999,$G218))),"")</f>
        <v/>
      </c>
    </row>
    <row r="219" customFormat="false" ht="15" hidden="false" customHeight="false" outlineLevel="0" collapsed="false">
      <c r="A219" s="9"/>
      <c r="B219" s="9"/>
      <c r="C219" s="10" t="str">
        <f aca="false">IF($B219="","",IFERROR(INDEX('Client Master'!$C:$C,MATCH($B219,'Client Master'!$B:$B,0)),"Code not found"))</f>
        <v/>
      </c>
      <c r="D219" s="9"/>
      <c r="E219" s="9"/>
      <c r="F219" s="9"/>
      <c r="G219" s="11"/>
      <c r="H219" s="11"/>
      <c r="I219" s="9"/>
      <c r="J219" s="12"/>
      <c r="K219" s="11"/>
      <c r="L219" s="9"/>
      <c r="N219" s="0" t="str">
        <f aca="false">IF(AND($J219&gt;0,$K219="",$A219&lt;&gt;""),SUMPRODUCT(($J$2:$J$600&gt;0)*($K$2:$K$600="")*($A$2:$A$600&lt;&gt;"")*((IF($G$2:$G$600="",99999999,$G$2:$G$600))&lt;IF($G219="",99999999,$G219)))+SUMPRODUCT(($J$2:$J219&gt;0)*($K$2:$K219="")*($A$2:$A219&lt;&gt;"")*((IF($G$2:$G219="",99999999,$G$2:$G219))=IF($G219="",99999999,$G219))),"")</f>
        <v/>
      </c>
      <c r="O219" s="0" t="str">
        <f aca="false">IF(AND($F219="Not Started",$A219&lt;&gt;""),SUMPRODUCT(($F$2:$F$600="Not Started")*($A$2:$A$600&lt;&gt;"")*((IF($G$2:$G$600="",99999999,$G$2:$G$600))&lt;IF($G219="",99999999,$G219)))+SUMPRODUCT(($F$2:$F219="Not Started")*($A$2:$A219&lt;&gt;"")*((IF($G$2:$G219="",99999999,$G$2:$G219))=IF($G219="",99999999,$G219))),"")</f>
        <v/>
      </c>
      <c r="P219" s="0" t="str">
        <f aca="false">IF(AND(OR($F219="In Progress",$F219="Pending Client Data",$F219="Under Review"),$A219&lt;&gt;""),SUMPRODUCT((($F$2:$F$600="In Progress")+($F$2:$F$600="Pending Client Data")+($F$2:$F$600="Under Review"))*($A$2:$A$600&lt;&gt;"")*((IF($G$2:$G$600="",99999999,$G$2:$G$600))&lt;IF($G219="",99999999,$G219)))+SUMPRODUCT((($F$2:$F219="In Progress")+($F$2:$F219="Pending Client Data")+($F$2:$F219="Under Review"))*($A$2:$A219&lt;&gt;"")*((IF($G$2:$G219="",99999999,$G$2:$G219))=IF($G219="",99999999,$G219))),"")</f>
        <v/>
      </c>
    </row>
    <row r="220" customFormat="false" ht="15" hidden="false" customHeight="false" outlineLevel="0" collapsed="false">
      <c r="A220" s="9"/>
      <c r="B220" s="9"/>
      <c r="C220" s="10" t="str">
        <f aca="false">IF($B220="","",IFERROR(INDEX('Client Master'!$C:$C,MATCH($B220,'Client Master'!$B:$B,0)),"Code not found"))</f>
        <v/>
      </c>
      <c r="D220" s="9"/>
      <c r="E220" s="9"/>
      <c r="F220" s="9"/>
      <c r="G220" s="11"/>
      <c r="H220" s="11"/>
      <c r="I220" s="9"/>
      <c r="J220" s="12"/>
      <c r="K220" s="11"/>
      <c r="L220" s="9"/>
      <c r="N220" s="0" t="str">
        <f aca="false">IF(AND($J220&gt;0,$K220="",$A220&lt;&gt;""),SUMPRODUCT(($J$2:$J$600&gt;0)*($K$2:$K$600="")*($A$2:$A$600&lt;&gt;"")*((IF($G$2:$G$600="",99999999,$G$2:$G$600))&lt;IF($G220="",99999999,$G220)))+SUMPRODUCT(($J$2:$J220&gt;0)*($K$2:$K220="")*($A$2:$A220&lt;&gt;"")*((IF($G$2:$G220="",99999999,$G$2:$G220))=IF($G220="",99999999,$G220))),"")</f>
        <v/>
      </c>
      <c r="O220" s="0" t="str">
        <f aca="false">IF(AND($F220="Not Started",$A220&lt;&gt;""),SUMPRODUCT(($F$2:$F$600="Not Started")*($A$2:$A$600&lt;&gt;"")*((IF($G$2:$G$600="",99999999,$G$2:$G$600))&lt;IF($G220="",99999999,$G220)))+SUMPRODUCT(($F$2:$F220="Not Started")*($A$2:$A220&lt;&gt;"")*((IF($G$2:$G220="",99999999,$G$2:$G220))=IF($G220="",99999999,$G220))),"")</f>
        <v/>
      </c>
      <c r="P220" s="0" t="str">
        <f aca="false">IF(AND(OR($F220="In Progress",$F220="Pending Client Data",$F220="Under Review"),$A220&lt;&gt;""),SUMPRODUCT((($F$2:$F$600="In Progress")+($F$2:$F$600="Pending Client Data")+($F$2:$F$600="Under Review"))*($A$2:$A$600&lt;&gt;"")*((IF($G$2:$G$600="",99999999,$G$2:$G$600))&lt;IF($G220="",99999999,$G220)))+SUMPRODUCT((($F$2:$F220="In Progress")+($F$2:$F220="Pending Client Data")+($F$2:$F220="Under Review"))*($A$2:$A220&lt;&gt;"")*((IF($G$2:$G220="",99999999,$G$2:$G220))=IF($G220="",99999999,$G220))),"")</f>
        <v/>
      </c>
    </row>
    <row r="221" customFormat="false" ht="15" hidden="false" customHeight="false" outlineLevel="0" collapsed="false">
      <c r="A221" s="9"/>
      <c r="B221" s="9"/>
      <c r="C221" s="10" t="str">
        <f aca="false">IF($B221="","",IFERROR(INDEX('Client Master'!$C:$C,MATCH($B221,'Client Master'!$B:$B,0)),"Code not found"))</f>
        <v/>
      </c>
      <c r="D221" s="9"/>
      <c r="E221" s="9"/>
      <c r="F221" s="9"/>
      <c r="G221" s="11"/>
      <c r="H221" s="11"/>
      <c r="I221" s="9"/>
      <c r="J221" s="12"/>
      <c r="K221" s="11"/>
      <c r="L221" s="9"/>
      <c r="N221" s="0" t="str">
        <f aca="false">IF(AND($J221&gt;0,$K221="",$A221&lt;&gt;""),SUMPRODUCT(($J$2:$J$600&gt;0)*($K$2:$K$600="")*($A$2:$A$600&lt;&gt;"")*((IF($G$2:$G$600="",99999999,$G$2:$G$600))&lt;IF($G221="",99999999,$G221)))+SUMPRODUCT(($J$2:$J221&gt;0)*($K$2:$K221="")*($A$2:$A221&lt;&gt;"")*((IF($G$2:$G221="",99999999,$G$2:$G221))=IF($G221="",99999999,$G221))),"")</f>
        <v/>
      </c>
      <c r="O221" s="0" t="str">
        <f aca="false">IF(AND($F221="Not Started",$A221&lt;&gt;""),SUMPRODUCT(($F$2:$F$600="Not Started")*($A$2:$A$600&lt;&gt;"")*((IF($G$2:$G$600="",99999999,$G$2:$G$600))&lt;IF($G221="",99999999,$G221)))+SUMPRODUCT(($F$2:$F221="Not Started")*($A$2:$A221&lt;&gt;"")*((IF($G$2:$G221="",99999999,$G$2:$G221))=IF($G221="",99999999,$G221))),"")</f>
        <v/>
      </c>
      <c r="P221" s="0" t="str">
        <f aca="false">IF(AND(OR($F221="In Progress",$F221="Pending Client Data",$F221="Under Review"),$A221&lt;&gt;""),SUMPRODUCT((($F$2:$F$600="In Progress")+($F$2:$F$600="Pending Client Data")+($F$2:$F$600="Under Review"))*($A$2:$A$600&lt;&gt;"")*((IF($G$2:$G$600="",99999999,$G$2:$G$600))&lt;IF($G221="",99999999,$G221)))+SUMPRODUCT((($F$2:$F221="In Progress")+($F$2:$F221="Pending Client Data")+($F$2:$F221="Under Review"))*($A$2:$A221&lt;&gt;"")*((IF($G$2:$G221="",99999999,$G$2:$G221))=IF($G221="",99999999,$G221))),"")</f>
        <v/>
      </c>
    </row>
    <row r="222" customFormat="false" ht="15" hidden="false" customHeight="false" outlineLevel="0" collapsed="false">
      <c r="A222" s="9"/>
      <c r="B222" s="9"/>
      <c r="C222" s="10" t="str">
        <f aca="false">IF($B222="","",IFERROR(INDEX('Client Master'!$C:$C,MATCH($B222,'Client Master'!$B:$B,0)),"Code not found"))</f>
        <v/>
      </c>
      <c r="D222" s="9"/>
      <c r="E222" s="9"/>
      <c r="F222" s="9"/>
      <c r="G222" s="11"/>
      <c r="H222" s="11"/>
      <c r="I222" s="9"/>
      <c r="J222" s="12"/>
      <c r="K222" s="11"/>
      <c r="L222" s="9"/>
      <c r="N222" s="0" t="str">
        <f aca="false">IF(AND($J222&gt;0,$K222="",$A222&lt;&gt;""),SUMPRODUCT(($J$2:$J$600&gt;0)*($K$2:$K$600="")*($A$2:$A$600&lt;&gt;"")*((IF($G$2:$G$600="",99999999,$G$2:$G$600))&lt;IF($G222="",99999999,$G222)))+SUMPRODUCT(($J$2:$J222&gt;0)*($K$2:$K222="")*($A$2:$A222&lt;&gt;"")*((IF($G$2:$G222="",99999999,$G$2:$G222))=IF($G222="",99999999,$G222))),"")</f>
        <v/>
      </c>
      <c r="O222" s="0" t="str">
        <f aca="false">IF(AND($F222="Not Started",$A222&lt;&gt;""),SUMPRODUCT(($F$2:$F$600="Not Started")*($A$2:$A$600&lt;&gt;"")*((IF($G$2:$G$600="",99999999,$G$2:$G$600))&lt;IF($G222="",99999999,$G222)))+SUMPRODUCT(($F$2:$F222="Not Started")*($A$2:$A222&lt;&gt;"")*((IF($G$2:$G222="",99999999,$G$2:$G222))=IF($G222="",99999999,$G222))),"")</f>
        <v/>
      </c>
      <c r="P222" s="0" t="str">
        <f aca="false">IF(AND(OR($F222="In Progress",$F222="Pending Client Data",$F222="Under Review"),$A222&lt;&gt;""),SUMPRODUCT((($F$2:$F$600="In Progress")+($F$2:$F$600="Pending Client Data")+($F$2:$F$600="Under Review"))*($A$2:$A$600&lt;&gt;"")*((IF($G$2:$G$600="",99999999,$G$2:$G$600))&lt;IF($G222="",99999999,$G222)))+SUMPRODUCT((($F$2:$F222="In Progress")+($F$2:$F222="Pending Client Data")+($F$2:$F222="Under Review"))*($A$2:$A222&lt;&gt;"")*((IF($G$2:$G222="",99999999,$G$2:$G222))=IF($G222="",99999999,$G222))),"")</f>
        <v/>
      </c>
    </row>
    <row r="223" customFormat="false" ht="15" hidden="false" customHeight="false" outlineLevel="0" collapsed="false">
      <c r="A223" s="9"/>
      <c r="B223" s="9"/>
      <c r="C223" s="10" t="str">
        <f aca="false">IF($B223="","",IFERROR(INDEX('Client Master'!$C:$C,MATCH($B223,'Client Master'!$B:$B,0)),"Code not found"))</f>
        <v/>
      </c>
      <c r="D223" s="9"/>
      <c r="E223" s="9"/>
      <c r="F223" s="9"/>
      <c r="G223" s="11"/>
      <c r="H223" s="11"/>
      <c r="I223" s="9"/>
      <c r="J223" s="12"/>
      <c r="K223" s="11"/>
      <c r="L223" s="9"/>
      <c r="N223" s="0" t="str">
        <f aca="false">IF(AND($J223&gt;0,$K223="",$A223&lt;&gt;""),SUMPRODUCT(($J$2:$J$600&gt;0)*($K$2:$K$600="")*($A$2:$A$600&lt;&gt;"")*((IF($G$2:$G$600="",99999999,$G$2:$G$600))&lt;IF($G223="",99999999,$G223)))+SUMPRODUCT(($J$2:$J223&gt;0)*($K$2:$K223="")*($A$2:$A223&lt;&gt;"")*((IF($G$2:$G223="",99999999,$G$2:$G223))=IF($G223="",99999999,$G223))),"")</f>
        <v/>
      </c>
      <c r="O223" s="0" t="str">
        <f aca="false">IF(AND($F223="Not Started",$A223&lt;&gt;""),SUMPRODUCT(($F$2:$F$600="Not Started")*($A$2:$A$600&lt;&gt;"")*((IF($G$2:$G$600="",99999999,$G$2:$G$600))&lt;IF($G223="",99999999,$G223)))+SUMPRODUCT(($F$2:$F223="Not Started")*($A$2:$A223&lt;&gt;"")*((IF($G$2:$G223="",99999999,$G$2:$G223))=IF($G223="",99999999,$G223))),"")</f>
        <v/>
      </c>
      <c r="P223" s="0" t="str">
        <f aca="false">IF(AND(OR($F223="In Progress",$F223="Pending Client Data",$F223="Under Review"),$A223&lt;&gt;""),SUMPRODUCT((($F$2:$F$600="In Progress")+($F$2:$F$600="Pending Client Data")+($F$2:$F$600="Under Review"))*($A$2:$A$600&lt;&gt;"")*((IF($G$2:$G$600="",99999999,$G$2:$G$600))&lt;IF($G223="",99999999,$G223)))+SUMPRODUCT((($F$2:$F223="In Progress")+($F$2:$F223="Pending Client Data")+($F$2:$F223="Under Review"))*($A$2:$A223&lt;&gt;"")*((IF($G$2:$G223="",99999999,$G$2:$G223))=IF($G223="",99999999,$G223))),"")</f>
        <v/>
      </c>
    </row>
    <row r="224" customFormat="false" ht="15" hidden="false" customHeight="false" outlineLevel="0" collapsed="false">
      <c r="A224" s="9"/>
      <c r="B224" s="9"/>
      <c r="C224" s="10" t="str">
        <f aca="false">IF($B224="","",IFERROR(INDEX('Client Master'!$C:$C,MATCH($B224,'Client Master'!$B:$B,0)),"Code not found"))</f>
        <v/>
      </c>
      <c r="D224" s="9"/>
      <c r="E224" s="9"/>
      <c r="F224" s="9"/>
      <c r="G224" s="11"/>
      <c r="H224" s="11"/>
      <c r="I224" s="9"/>
      <c r="J224" s="12"/>
      <c r="K224" s="11"/>
      <c r="L224" s="9"/>
      <c r="N224" s="0" t="str">
        <f aca="false">IF(AND($J224&gt;0,$K224="",$A224&lt;&gt;""),SUMPRODUCT(($J$2:$J$600&gt;0)*($K$2:$K$600="")*($A$2:$A$600&lt;&gt;"")*((IF($G$2:$G$600="",99999999,$G$2:$G$600))&lt;IF($G224="",99999999,$G224)))+SUMPRODUCT(($J$2:$J224&gt;0)*($K$2:$K224="")*($A$2:$A224&lt;&gt;"")*((IF($G$2:$G224="",99999999,$G$2:$G224))=IF($G224="",99999999,$G224))),"")</f>
        <v/>
      </c>
      <c r="O224" s="0" t="str">
        <f aca="false">IF(AND($F224="Not Started",$A224&lt;&gt;""),SUMPRODUCT(($F$2:$F$600="Not Started")*($A$2:$A$600&lt;&gt;"")*((IF($G$2:$G$600="",99999999,$G$2:$G$600))&lt;IF($G224="",99999999,$G224)))+SUMPRODUCT(($F$2:$F224="Not Started")*($A$2:$A224&lt;&gt;"")*((IF($G$2:$G224="",99999999,$G$2:$G224))=IF($G224="",99999999,$G224))),"")</f>
        <v/>
      </c>
      <c r="P224" s="0" t="str">
        <f aca="false">IF(AND(OR($F224="In Progress",$F224="Pending Client Data",$F224="Under Review"),$A224&lt;&gt;""),SUMPRODUCT((($F$2:$F$600="In Progress")+($F$2:$F$600="Pending Client Data")+($F$2:$F$600="Under Review"))*($A$2:$A$600&lt;&gt;"")*((IF($G$2:$G$600="",99999999,$G$2:$G$600))&lt;IF($G224="",99999999,$G224)))+SUMPRODUCT((($F$2:$F224="In Progress")+($F$2:$F224="Pending Client Data")+($F$2:$F224="Under Review"))*($A$2:$A224&lt;&gt;"")*((IF($G$2:$G224="",99999999,$G$2:$G224))=IF($G224="",99999999,$G224))),"")</f>
        <v/>
      </c>
    </row>
    <row r="225" customFormat="false" ht="15" hidden="false" customHeight="false" outlineLevel="0" collapsed="false">
      <c r="A225" s="9"/>
      <c r="B225" s="9"/>
      <c r="C225" s="10" t="str">
        <f aca="false">IF($B225="","",IFERROR(INDEX('Client Master'!$C:$C,MATCH($B225,'Client Master'!$B:$B,0)),"Code not found"))</f>
        <v/>
      </c>
      <c r="D225" s="9"/>
      <c r="E225" s="9"/>
      <c r="F225" s="9"/>
      <c r="G225" s="11"/>
      <c r="H225" s="11"/>
      <c r="I225" s="9"/>
      <c r="J225" s="12"/>
      <c r="K225" s="11"/>
      <c r="L225" s="9"/>
      <c r="N225" s="0" t="str">
        <f aca="false">IF(AND($J225&gt;0,$K225="",$A225&lt;&gt;""),SUMPRODUCT(($J$2:$J$600&gt;0)*($K$2:$K$600="")*($A$2:$A$600&lt;&gt;"")*((IF($G$2:$G$600="",99999999,$G$2:$G$600))&lt;IF($G225="",99999999,$G225)))+SUMPRODUCT(($J$2:$J225&gt;0)*($K$2:$K225="")*($A$2:$A225&lt;&gt;"")*((IF($G$2:$G225="",99999999,$G$2:$G225))=IF($G225="",99999999,$G225))),"")</f>
        <v/>
      </c>
      <c r="O225" s="0" t="str">
        <f aca="false">IF(AND($F225="Not Started",$A225&lt;&gt;""),SUMPRODUCT(($F$2:$F$600="Not Started")*($A$2:$A$600&lt;&gt;"")*((IF($G$2:$G$600="",99999999,$G$2:$G$600))&lt;IF($G225="",99999999,$G225)))+SUMPRODUCT(($F$2:$F225="Not Started")*($A$2:$A225&lt;&gt;"")*((IF($G$2:$G225="",99999999,$G$2:$G225))=IF($G225="",99999999,$G225))),"")</f>
        <v/>
      </c>
      <c r="P225" s="0" t="str">
        <f aca="false">IF(AND(OR($F225="In Progress",$F225="Pending Client Data",$F225="Under Review"),$A225&lt;&gt;""),SUMPRODUCT((($F$2:$F$600="In Progress")+($F$2:$F$600="Pending Client Data")+($F$2:$F$600="Under Review"))*($A$2:$A$600&lt;&gt;"")*((IF($G$2:$G$600="",99999999,$G$2:$G$600))&lt;IF($G225="",99999999,$G225)))+SUMPRODUCT((($F$2:$F225="In Progress")+($F$2:$F225="Pending Client Data")+($F$2:$F225="Under Review"))*($A$2:$A225&lt;&gt;"")*((IF($G$2:$G225="",99999999,$G$2:$G225))=IF($G225="",99999999,$G225))),"")</f>
        <v/>
      </c>
    </row>
    <row r="226" customFormat="false" ht="15" hidden="false" customHeight="false" outlineLevel="0" collapsed="false">
      <c r="A226" s="9"/>
      <c r="B226" s="9"/>
      <c r="C226" s="10" t="str">
        <f aca="false">IF($B226="","",IFERROR(INDEX('Client Master'!$C:$C,MATCH($B226,'Client Master'!$B:$B,0)),"Code not found"))</f>
        <v/>
      </c>
      <c r="D226" s="9"/>
      <c r="E226" s="9"/>
      <c r="F226" s="9"/>
      <c r="G226" s="11"/>
      <c r="H226" s="11"/>
      <c r="I226" s="9"/>
      <c r="J226" s="12"/>
      <c r="K226" s="11"/>
      <c r="L226" s="9"/>
      <c r="N226" s="0" t="str">
        <f aca="false">IF(AND($J226&gt;0,$K226="",$A226&lt;&gt;""),SUMPRODUCT(($J$2:$J$600&gt;0)*($K$2:$K$600="")*($A$2:$A$600&lt;&gt;"")*((IF($G$2:$G$600="",99999999,$G$2:$G$600))&lt;IF($G226="",99999999,$G226)))+SUMPRODUCT(($J$2:$J226&gt;0)*($K$2:$K226="")*($A$2:$A226&lt;&gt;"")*((IF($G$2:$G226="",99999999,$G$2:$G226))=IF($G226="",99999999,$G226))),"")</f>
        <v/>
      </c>
      <c r="O226" s="0" t="str">
        <f aca="false">IF(AND($F226="Not Started",$A226&lt;&gt;""),SUMPRODUCT(($F$2:$F$600="Not Started")*($A$2:$A$600&lt;&gt;"")*((IF($G$2:$G$600="",99999999,$G$2:$G$600))&lt;IF($G226="",99999999,$G226)))+SUMPRODUCT(($F$2:$F226="Not Started")*($A$2:$A226&lt;&gt;"")*((IF($G$2:$G226="",99999999,$G$2:$G226))=IF($G226="",99999999,$G226))),"")</f>
        <v/>
      </c>
      <c r="P226" s="0" t="str">
        <f aca="false">IF(AND(OR($F226="In Progress",$F226="Pending Client Data",$F226="Under Review"),$A226&lt;&gt;""),SUMPRODUCT((($F$2:$F$600="In Progress")+($F$2:$F$600="Pending Client Data")+($F$2:$F$600="Under Review"))*($A$2:$A$600&lt;&gt;"")*((IF($G$2:$G$600="",99999999,$G$2:$G$600))&lt;IF($G226="",99999999,$G226)))+SUMPRODUCT((($F$2:$F226="In Progress")+($F$2:$F226="Pending Client Data")+($F$2:$F226="Under Review"))*($A$2:$A226&lt;&gt;"")*((IF($G$2:$G226="",99999999,$G$2:$G226))=IF($G226="",99999999,$G226))),"")</f>
        <v/>
      </c>
    </row>
    <row r="227" customFormat="false" ht="15" hidden="false" customHeight="false" outlineLevel="0" collapsed="false">
      <c r="A227" s="9"/>
      <c r="B227" s="9"/>
      <c r="C227" s="10" t="str">
        <f aca="false">IF($B227="","",IFERROR(INDEX('Client Master'!$C:$C,MATCH($B227,'Client Master'!$B:$B,0)),"Code not found"))</f>
        <v/>
      </c>
      <c r="D227" s="9"/>
      <c r="E227" s="9"/>
      <c r="F227" s="9"/>
      <c r="G227" s="11"/>
      <c r="H227" s="11"/>
      <c r="I227" s="9"/>
      <c r="J227" s="12"/>
      <c r="K227" s="11"/>
      <c r="L227" s="9"/>
      <c r="N227" s="0" t="str">
        <f aca="false">IF(AND($J227&gt;0,$K227="",$A227&lt;&gt;""),SUMPRODUCT(($J$2:$J$600&gt;0)*($K$2:$K$600="")*($A$2:$A$600&lt;&gt;"")*((IF($G$2:$G$600="",99999999,$G$2:$G$600))&lt;IF($G227="",99999999,$G227)))+SUMPRODUCT(($J$2:$J227&gt;0)*($K$2:$K227="")*($A$2:$A227&lt;&gt;"")*((IF($G$2:$G227="",99999999,$G$2:$G227))=IF($G227="",99999999,$G227))),"")</f>
        <v/>
      </c>
      <c r="O227" s="0" t="str">
        <f aca="false">IF(AND($F227="Not Started",$A227&lt;&gt;""),SUMPRODUCT(($F$2:$F$600="Not Started")*($A$2:$A$600&lt;&gt;"")*((IF($G$2:$G$600="",99999999,$G$2:$G$600))&lt;IF($G227="",99999999,$G227)))+SUMPRODUCT(($F$2:$F227="Not Started")*($A$2:$A227&lt;&gt;"")*((IF($G$2:$G227="",99999999,$G$2:$G227))=IF($G227="",99999999,$G227))),"")</f>
        <v/>
      </c>
      <c r="P227" s="0" t="str">
        <f aca="false">IF(AND(OR($F227="In Progress",$F227="Pending Client Data",$F227="Under Review"),$A227&lt;&gt;""),SUMPRODUCT((($F$2:$F$600="In Progress")+($F$2:$F$600="Pending Client Data")+($F$2:$F$600="Under Review"))*($A$2:$A$600&lt;&gt;"")*((IF($G$2:$G$600="",99999999,$G$2:$G$600))&lt;IF($G227="",99999999,$G227)))+SUMPRODUCT((($F$2:$F227="In Progress")+($F$2:$F227="Pending Client Data")+($F$2:$F227="Under Review"))*($A$2:$A227&lt;&gt;"")*((IF($G$2:$G227="",99999999,$G$2:$G227))=IF($G227="",99999999,$G227))),"")</f>
        <v/>
      </c>
    </row>
    <row r="228" customFormat="false" ht="15" hidden="false" customHeight="false" outlineLevel="0" collapsed="false">
      <c r="A228" s="9"/>
      <c r="B228" s="9"/>
      <c r="C228" s="10" t="str">
        <f aca="false">IF($B228="","",IFERROR(INDEX('Client Master'!$C:$C,MATCH($B228,'Client Master'!$B:$B,0)),"Code not found"))</f>
        <v/>
      </c>
      <c r="D228" s="9"/>
      <c r="E228" s="9"/>
      <c r="F228" s="9"/>
      <c r="G228" s="11"/>
      <c r="H228" s="11"/>
      <c r="I228" s="9"/>
      <c r="J228" s="12"/>
      <c r="K228" s="11"/>
      <c r="L228" s="9"/>
      <c r="N228" s="0" t="str">
        <f aca="false">IF(AND($J228&gt;0,$K228="",$A228&lt;&gt;""),SUMPRODUCT(($J$2:$J$600&gt;0)*($K$2:$K$600="")*($A$2:$A$600&lt;&gt;"")*((IF($G$2:$G$600="",99999999,$G$2:$G$600))&lt;IF($G228="",99999999,$G228)))+SUMPRODUCT(($J$2:$J228&gt;0)*($K$2:$K228="")*($A$2:$A228&lt;&gt;"")*((IF($G$2:$G228="",99999999,$G$2:$G228))=IF($G228="",99999999,$G228))),"")</f>
        <v/>
      </c>
      <c r="O228" s="0" t="str">
        <f aca="false">IF(AND($F228="Not Started",$A228&lt;&gt;""),SUMPRODUCT(($F$2:$F$600="Not Started")*($A$2:$A$600&lt;&gt;"")*((IF($G$2:$G$600="",99999999,$G$2:$G$600))&lt;IF($G228="",99999999,$G228)))+SUMPRODUCT(($F$2:$F228="Not Started")*($A$2:$A228&lt;&gt;"")*((IF($G$2:$G228="",99999999,$G$2:$G228))=IF($G228="",99999999,$G228))),"")</f>
        <v/>
      </c>
      <c r="P228" s="0" t="str">
        <f aca="false">IF(AND(OR($F228="In Progress",$F228="Pending Client Data",$F228="Under Review"),$A228&lt;&gt;""),SUMPRODUCT((($F$2:$F$600="In Progress")+($F$2:$F$600="Pending Client Data")+($F$2:$F$600="Under Review"))*($A$2:$A$600&lt;&gt;"")*((IF($G$2:$G$600="",99999999,$G$2:$G$600))&lt;IF($G228="",99999999,$G228)))+SUMPRODUCT((($F$2:$F228="In Progress")+($F$2:$F228="Pending Client Data")+($F$2:$F228="Under Review"))*($A$2:$A228&lt;&gt;"")*((IF($G$2:$G228="",99999999,$G$2:$G228))=IF($G228="",99999999,$G228))),"")</f>
        <v/>
      </c>
    </row>
    <row r="229" customFormat="false" ht="15" hidden="false" customHeight="false" outlineLevel="0" collapsed="false">
      <c r="A229" s="9"/>
      <c r="B229" s="9"/>
      <c r="C229" s="10" t="str">
        <f aca="false">IF($B229="","",IFERROR(INDEX('Client Master'!$C:$C,MATCH($B229,'Client Master'!$B:$B,0)),"Code not found"))</f>
        <v/>
      </c>
      <c r="D229" s="9"/>
      <c r="E229" s="9"/>
      <c r="F229" s="9"/>
      <c r="G229" s="11"/>
      <c r="H229" s="11"/>
      <c r="I229" s="9"/>
      <c r="J229" s="12"/>
      <c r="K229" s="11"/>
      <c r="L229" s="9"/>
      <c r="N229" s="0" t="str">
        <f aca="false">IF(AND($J229&gt;0,$K229="",$A229&lt;&gt;""),SUMPRODUCT(($J$2:$J$600&gt;0)*($K$2:$K$600="")*($A$2:$A$600&lt;&gt;"")*((IF($G$2:$G$600="",99999999,$G$2:$G$600))&lt;IF($G229="",99999999,$G229)))+SUMPRODUCT(($J$2:$J229&gt;0)*($K$2:$K229="")*($A$2:$A229&lt;&gt;"")*((IF($G$2:$G229="",99999999,$G$2:$G229))=IF($G229="",99999999,$G229))),"")</f>
        <v/>
      </c>
      <c r="O229" s="0" t="str">
        <f aca="false">IF(AND($F229="Not Started",$A229&lt;&gt;""),SUMPRODUCT(($F$2:$F$600="Not Started")*($A$2:$A$600&lt;&gt;"")*((IF($G$2:$G$600="",99999999,$G$2:$G$600))&lt;IF($G229="",99999999,$G229)))+SUMPRODUCT(($F$2:$F229="Not Started")*($A$2:$A229&lt;&gt;"")*((IF($G$2:$G229="",99999999,$G$2:$G229))=IF($G229="",99999999,$G229))),"")</f>
        <v/>
      </c>
      <c r="P229" s="0" t="str">
        <f aca="false">IF(AND(OR($F229="In Progress",$F229="Pending Client Data",$F229="Under Review"),$A229&lt;&gt;""),SUMPRODUCT((($F$2:$F$600="In Progress")+($F$2:$F$600="Pending Client Data")+($F$2:$F$600="Under Review"))*($A$2:$A$600&lt;&gt;"")*((IF($G$2:$G$600="",99999999,$G$2:$G$600))&lt;IF($G229="",99999999,$G229)))+SUMPRODUCT((($F$2:$F229="In Progress")+($F$2:$F229="Pending Client Data")+($F$2:$F229="Under Review"))*($A$2:$A229&lt;&gt;"")*((IF($G$2:$G229="",99999999,$G$2:$G229))=IF($G229="",99999999,$G229))),"")</f>
        <v/>
      </c>
    </row>
    <row r="230" customFormat="false" ht="15" hidden="false" customHeight="false" outlineLevel="0" collapsed="false">
      <c r="A230" s="9"/>
      <c r="B230" s="9"/>
      <c r="C230" s="10" t="str">
        <f aca="false">IF($B230="","",IFERROR(INDEX('Client Master'!$C:$C,MATCH($B230,'Client Master'!$B:$B,0)),"Code not found"))</f>
        <v/>
      </c>
      <c r="D230" s="9"/>
      <c r="E230" s="9"/>
      <c r="F230" s="9"/>
      <c r="G230" s="11"/>
      <c r="H230" s="11"/>
      <c r="I230" s="9"/>
      <c r="J230" s="12"/>
      <c r="K230" s="11"/>
      <c r="L230" s="9"/>
      <c r="N230" s="0" t="str">
        <f aca="false">IF(AND($J230&gt;0,$K230="",$A230&lt;&gt;""),SUMPRODUCT(($J$2:$J$600&gt;0)*($K$2:$K$600="")*($A$2:$A$600&lt;&gt;"")*((IF($G$2:$G$600="",99999999,$G$2:$G$600))&lt;IF($G230="",99999999,$G230)))+SUMPRODUCT(($J$2:$J230&gt;0)*($K$2:$K230="")*($A$2:$A230&lt;&gt;"")*((IF($G$2:$G230="",99999999,$G$2:$G230))=IF($G230="",99999999,$G230))),"")</f>
        <v/>
      </c>
      <c r="O230" s="0" t="str">
        <f aca="false">IF(AND($F230="Not Started",$A230&lt;&gt;""),SUMPRODUCT(($F$2:$F$600="Not Started")*($A$2:$A$600&lt;&gt;"")*((IF($G$2:$G$600="",99999999,$G$2:$G$600))&lt;IF($G230="",99999999,$G230)))+SUMPRODUCT(($F$2:$F230="Not Started")*($A$2:$A230&lt;&gt;"")*((IF($G$2:$G230="",99999999,$G$2:$G230))=IF($G230="",99999999,$G230))),"")</f>
        <v/>
      </c>
      <c r="P230" s="0" t="str">
        <f aca="false">IF(AND(OR($F230="In Progress",$F230="Pending Client Data",$F230="Under Review"),$A230&lt;&gt;""),SUMPRODUCT((($F$2:$F$600="In Progress")+($F$2:$F$600="Pending Client Data")+($F$2:$F$600="Under Review"))*($A$2:$A$600&lt;&gt;"")*((IF($G$2:$G$600="",99999999,$G$2:$G$600))&lt;IF($G230="",99999999,$G230)))+SUMPRODUCT((($F$2:$F230="In Progress")+($F$2:$F230="Pending Client Data")+($F$2:$F230="Under Review"))*($A$2:$A230&lt;&gt;"")*((IF($G$2:$G230="",99999999,$G$2:$G230))=IF($G230="",99999999,$G230))),"")</f>
        <v/>
      </c>
    </row>
    <row r="231" customFormat="false" ht="15" hidden="false" customHeight="false" outlineLevel="0" collapsed="false">
      <c r="A231" s="9"/>
      <c r="B231" s="9"/>
      <c r="C231" s="10" t="str">
        <f aca="false">IF($B231="","",IFERROR(INDEX('Client Master'!$C:$C,MATCH($B231,'Client Master'!$B:$B,0)),"Code not found"))</f>
        <v/>
      </c>
      <c r="D231" s="9"/>
      <c r="E231" s="9"/>
      <c r="F231" s="9"/>
      <c r="G231" s="11"/>
      <c r="H231" s="11"/>
      <c r="I231" s="9"/>
      <c r="J231" s="12"/>
      <c r="K231" s="11"/>
      <c r="L231" s="9"/>
      <c r="N231" s="0" t="str">
        <f aca="false">IF(AND($J231&gt;0,$K231="",$A231&lt;&gt;""),SUMPRODUCT(($J$2:$J$600&gt;0)*($K$2:$K$600="")*($A$2:$A$600&lt;&gt;"")*((IF($G$2:$G$600="",99999999,$G$2:$G$600))&lt;IF($G231="",99999999,$G231)))+SUMPRODUCT(($J$2:$J231&gt;0)*($K$2:$K231="")*($A$2:$A231&lt;&gt;"")*((IF($G$2:$G231="",99999999,$G$2:$G231))=IF($G231="",99999999,$G231))),"")</f>
        <v/>
      </c>
      <c r="O231" s="0" t="str">
        <f aca="false">IF(AND($F231="Not Started",$A231&lt;&gt;""),SUMPRODUCT(($F$2:$F$600="Not Started")*($A$2:$A$600&lt;&gt;"")*((IF($G$2:$G$600="",99999999,$G$2:$G$600))&lt;IF($G231="",99999999,$G231)))+SUMPRODUCT(($F$2:$F231="Not Started")*($A$2:$A231&lt;&gt;"")*((IF($G$2:$G231="",99999999,$G$2:$G231))=IF($G231="",99999999,$G231))),"")</f>
        <v/>
      </c>
      <c r="P231" s="0" t="str">
        <f aca="false">IF(AND(OR($F231="In Progress",$F231="Pending Client Data",$F231="Under Review"),$A231&lt;&gt;""),SUMPRODUCT((($F$2:$F$600="In Progress")+($F$2:$F$600="Pending Client Data")+($F$2:$F$600="Under Review"))*($A$2:$A$600&lt;&gt;"")*((IF($G$2:$G$600="",99999999,$G$2:$G$600))&lt;IF($G231="",99999999,$G231)))+SUMPRODUCT((($F$2:$F231="In Progress")+($F$2:$F231="Pending Client Data")+($F$2:$F231="Under Review"))*($A$2:$A231&lt;&gt;"")*((IF($G$2:$G231="",99999999,$G$2:$G231))=IF($G231="",99999999,$G231))),"")</f>
        <v/>
      </c>
    </row>
    <row r="232" customFormat="false" ht="15" hidden="false" customHeight="false" outlineLevel="0" collapsed="false">
      <c r="A232" s="9"/>
      <c r="B232" s="9"/>
      <c r="C232" s="10" t="str">
        <f aca="false">IF($B232="","",IFERROR(INDEX('Client Master'!$C:$C,MATCH($B232,'Client Master'!$B:$B,0)),"Code not found"))</f>
        <v/>
      </c>
      <c r="D232" s="9"/>
      <c r="E232" s="9"/>
      <c r="F232" s="9"/>
      <c r="G232" s="11"/>
      <c r="H232" s="11"/>
      <c r="I232" s="9"/>
      <c r="J232" s="12"/>
      <c r="K232" s="11"/>
      <c r="L232" s="9"/>
      <c r="N232" s="0" t="str">
        <f aca="false">IF(AND($J232&gt;0,$K232="",$A232&lt;&gt;""),SUMPRODUCT(($J$2:$J$600&gt;0)*($K$2:$K$600="")*($A$2:$A$600&lt;&gt;"")*((IF($G$2:$G$600="",99999999,$G$2:$G$600))&lt;IF($G232="",99999999,$G232)))+SUMPRODUCT(($J$2:$J232&gt;0)*($K$2:$K232="")*($A$2:$A232&lt;&gt;"")*((IF($G$2:$G232="",99999999,$G$2:$G232))=IF($G232="",99999999,$G232))),"")</f>
        <v/>
      </c>
      <c r="O232" s="0" t="str">
        <f aca="false">IF(AND($F232="Not Started",$A232&lt;&gt;""),SUMPRODUCT(($F$2:$F$600="Not Started")*($A$2:$A$600&lt;&gt;"")*((IF($G$2:$G$600="",99999999,$G$2:$G$600))&lt;IF($G232="",99999999,$G232)))+SUMPRODUCT(($F$2:$F232="Not Started")*($A$2:$A232&lt;&gt;"")*((IF($G$2:$G232="",99999999,$G$2:$G232))=IF($G232="",99999999,$G232))),"")</f>
        <v/>
      </c>
      <c r="P232" s="0" t="str">
        <f aca="false">IF(AND(OR($F232="In Progress",$F232="Pending Client Data",$F232="Under Review"),$A232&lt;&gt;""),SUMPRODUCT((($F$2:$F$600="In Progress")+($F$2:$F$600="Pending Client Data")+($F$2:$F$600="Under Review"))*($A$2:$A$600&lt;&gt;"")*((IF($G$2:$G$600="",99999999,$G$2:$G$600))&lt;IF($G232="",99999999,$G232)))+SUMPRODUCT((($F$2:$F232="In Progress")+($F$2:$F232="Pending Client Data")+($F$2:$F232="Under Review"))*($A$2:$A232&lt;&gt;"")*((IF($G$2:$G232="",99999999,$G$2:$G232))=IF($G232="",99999999,$G232))),"")</f>
        <v/>
      </c>
    </row>
    <row r="233" customFormat="false" ht="15" hidden="false" customHeight="false" outlineLevel="0" collapsed="false">
      <c r="A233" s="9"/>
      <c r="B233" s="9"/>
      <c r="C233" s="10" t="str">
        <f aca="false">IF($B233="","",IFERROR(INDEX('Client Master'!$C:$C,MATCH($B233,'Client Master'!$B:$B,0)),"Code not found"))</f>
        <v/>
      </c>
      <c r="D233" s="9"/>
      <c r="E233" s="9"/>
      <c r="F233" s="9"/>
      <c r="G233" s="11"/>
      <c r="H233" s="11"/>
      <c r="I233" s="9"/>
      <c r="J233" s="12"/>
      <c r="K233" s="11"/>
      <c r="L233" s="9"/>
      <c r="N233" s="0" t="str">
        <f aca="false">IF(AND($J233&gt;0,$K233="",$A233&lt;&gt;""),SUMPRODUCT(($J$2:$J$600&gt;0)*($K$2:$K$600="")*($A$2:$A$600&lt;&gt;"")*((IF($G$2:$G$600="",99999999,$G$2:$G$600))&lt;IF($G233="",99999999,$G233)))+SUMPRODUCT(($J$2:$J233&gt;0)*($K$2:$K233="")*($A$2:$A233&lt;&gt;"")*((IF($G$2:$G233="",99999999,$G$2:$G233))=IF($G233="",99999999,$G233))),"")</f>
        <v/>
      </c>
      <c r="O233" s="0" t="str">
        <f aca="false">IF(AND($F233="Not Started",$A233&lt;&gt;""),SUMPRODUCT(($F$2:$F$600="Not Started")*($A$2:$A$600&lt;&gt;"")*((IF($G$2:$G$600="",99999999,$G$2:$G$600))&lt;IF($G233="",99999999,$G233)))+SUMPRODUCT(($F$2:$F233="Not Started")*($A$2:$A233&lt;&gt;"")*((IF($G$2:$G233="",99999999,$G$2:$G233))=IF($G233="",99999999,$G233))),"")</f>
        <v/>
      </c>
      <c r="P233" s="0" t="str">
        <f aca="false">IF(AND(OR($F233="In Progress",$F233="Pending Client Data",$F233="Under Review"),$A233&lt;&gt;""),SUMPRODUCT((($F$2:$F$600="In Progress")+($F$2:$F$600="Pending Client Data")+($F$2:$F$600="Under Review"))*($A$2:$A$600&lt;&gt;"")*((IF($G$2:$G$600="",99999999,$G$2:$G$600))&lt;IF($G233="",99999999,$G233)))+SUMPRODUCT((($F$2:$F233="In Progress")+($F$2:$F233="Pending Client Data")+($F$2:$F233="Under Review"))*($A$2:$A233&lt;&gt;"")*((IF($G$2:$G233="",99999999,$G$2:$G233))=IF($G233="",99999999,$G233))),"")</f>
        <v/>
      </c>
    </row>
    <row r="234" customFormat="false" ht="15" hidden="false" customHeight="false" outlineLevel="0" collapsed="false">
      <c r="A234" s="9"/>
      <c r="B234" s="9"/>
      <c r="C234" s="10" t="str">
        <f aca="false">IF($B234="","",IFERROR(INDEX('Client Master'!$C:$C,MATCH($B234,'Client Master'!$B:$B,0)),"Code not found"))</f>
        <v/>
      </c>
      <c r="D234" s="9"/>
      <c r="E234" s="9"/>
      <c r="F234" s="9"/>
      <c r="G234" s="11"/>
      <c r="H234" s="11"/>
      <c r="I234" s="9"/>
      <c r="J234" s="12"/>
      <c r="K234" s="11"/>
      <c r="L234" s="9"/>
      <c r="N234" s="0" t="str">
        <f aca="false">IF(AND($J234&gt;0,$K234="",$A234&lt;&gt;""),SUMPRODUCT(($J$2:$J$600&gt;0)*($K$2:$K$600="")*($A$2:$A$600&lt;&gt;"")*((IF($G$2:$G$600="",99999999,$G$2:$G$600))&lt;IF($G234="",99999999,$G234)))+SUMPRODUCT(($J$2:$J234&gt;0)*($K$2:$K234="")*($A$2:$A234&lt;&gt;"")*((IF($G$2:$G234="",99999999,$G$2:$G234))=IF($G234="",99999999,$G234))),"")</f>
        <v/>
      </c>
      <c r="O234" s="0" t="str">
        <f aca="false">IF(AND($F234="Not Started",$A234&lt;&gt;""),SUMPRODUCT(($F$2:$F$600="Not Started")*($A$2:$A$600&lt;&gt;"")*((IF($G$2:$G$600="",99999999,$G$2:$G$600))&lt;IF($G234="",99999999,$G234)))+SUMPRODUCT(($F$2:$F234="Not Started")*($A$2:$A234&lt;&gt;"")*((IF($G$2:$G234="",99999999,$G$2:$G234))=IF($G234="",99999999,$G234))),"")</f>
        <v/>
      </c>
      <c r="P234" s="0" t="str">
        <f aca="false">IF(AND(OR($F234="In Progress",$F234="Pending Client Data",$F234="Under Review"),$A234&lt;&gt;""),SUMPRODUCT((($F$2:$F$600="In Progress")+($F$2:$F$600="Pending Client Data")+($F$2:$F$600="Under Review"))*($A$2:$A$600&lt;&gt;"")*((IF($G$2:$G$600="",99999999,$G$2:$G$600))&lt;IF($G234="",99999999,$G234)))+SUMPRODUCT((($F$2:$F234="In Progress")+($F$2:$F234="Pending Client Data")+($F$2:$F234="Under Review"))*($A$2:$A234&lt;&gt;"")*((IF($G$2:$G234="",99999999,$G$2:$G234))=IF($G234="",99999999,$G234))),"")</f>
        <v/>
      </c>
    </row>
    <row r="235" customFormat="false" ht="15" hidden="false" customHeight="false" outlineLevel="0" collapsed="false">
      <c r="A235" s="9"/>
      <c r="B235" s="9"/>
      <c r="C235" s="10" t="str">
        <f aca="false">IF($B235="","",IFERROR(INDEX('Client Master'!$C:$C,MATCH($B235,'Client Master'!$B:$B,0)),"Code not found"))</f>
        <v/>
      </c>
      <c r="D235" s="9"/>
      <c r="E235" s="9"/>
      <c r="F235" s="9"/>
      <c r="G235" s="11"/>
      <c r="H235" s="11"/>
      <c r="I235" s="9"/>
      <c r="J235" s="12"/>
      <c r="K235" s="11"/>
      <c r="L235" s="9"/>
      <c r="N235" s="0" t="str">
        <f aca="false">IF(AND($J235&gt;0,$K235="",$A235&lt;&gt;""),SUMPRODUCT(($J$2:$J$600&gt;0)*($K$2:$K$600="")*($A$2:$A$600&lt;&gt;"")*((IF($G$2:$G$600="",99999999,$G$2:$G$600))&lt;IF($G235="",99999999,$G235)))+SUMPRODUCT(($J$2:$J235&gt;0)*($K$2:$K235="")*($A$2:$A235&lt;&gt;"")*((IF($G$2:$G235="",99999999,$G$2:$G235))=IF($G235="",99999999,$G235))),"")</f>
        <v/>
      </c>
      <c r="O235" s="0" t="str">
        <f aca="false">IF(AND($F235="Not Started",$A235&lt;&gt;""),SUMPRODUCT(($F$2:$F$600="Not Started")*($A$2:$A$600&lt;&gt;"")*((IF($G$2:$G$600="",99999999,$G$2:$G$600))&lt;IF($G235="",99999999,$G235)))+SUMPRODUCT(($F$2:$F235="Not Started")*($A$2:$A235&lt;&gt;"")*((IF($G$2:$G235="",99999999,$G$2:$G235))=IF($G235="",99999999,$G235))),"")</f>
        <v/>
      </c>
      <c r="P235" s="0" t="str">
        <f aca="false">IF(AND(OR($F235="In Progress",$F235="Pending Client Data",$F235="Under Review"),$A235&lt;&gt;""),SUMPRODUCT((($F$2:$F$600="In Progress")+($F$2:$F$600="Pending Client Data")+($F$2:$F$600="Under Review"))*($A$2:$A$600&lt;&gt;"")*((IF($G$2:$G$600="",99999999,$G$2:$G$600))&lt;IF($G235="",99999999,$G235)))+SUMPRODUCT((($F$2:$F235="In Progress")+($F$2:$F235="Pending Client Data")+($F$2:$F235="Under Review"))*($A$2:$A235&lt;&gt;"")*((IF($G$2:$G235="",99999999,$G$2:$G235))=IF($G235="",99999999,$G235))),"")</f>
        <v/>
      </c>
    </row>
    <row r="236" customFormat="false" ht="15" hidden="false" customHeight="false" outlineLevel="0" collapsed="false">
      <c r="A236" s="9"/>
      <c r="B236" s="9"/>
      <c r="C236" s="10" t="str">
        <f aca="false">IF($B236="","",IFERROR(INDEX('Client Master'!$C:$C,MATCH($B236,'Client Master'!$B:$B,0)),"Code not found"))</f>
        <v/>
      </c>
      <c r="D236" s="9"/>
      <c r="E236" s="9"/>
      <c r="F236" s="9"/>
      <c r="G236" s="11"/>
      <c r="H236" s="11"/>
      <c r="I236" s="9"/>
      <c r="J236" s="12"/>
      <c r="K236" s="11"/>
      <c r="L236" s="9"/>
      <c r="N236" s="0" t="str">
        <f aca="false">IF(AND($J236&gt;0,$K236="",$A236&lt;&gt;""),SUMPRODUCT(($J$2:$J$600&gt;0)*($K$2:$K$600="")*($A$2:$A$600&lt;&gt;"")*((IF($G$2:$G$600="",99999999,$G$2:$G$600))&lt;IF($G236="",99999999,$G236)))+SUMPRODUCT(($J$2:$J236&gt;0)*($K$2:$K236="")*($A$2:$A236&lt;&gt;"")*((IF($G$2:$G236="",99999999,$G$2:$G236))=IF($G236="",99999999,$G236))),"")</f>
        <v/>
      </c>
      <c r="O236" s="0" t="str">
        <f aca="false">IF(AND($F236="Not Started",$A236&lt;&gt;""),SUMPRODUCT(($F$2:$F$600="Not Started")*($A$2:$A$600&lt;&gt;"")*((IF($G$2:$G$600="",99999999,$G$2:$G$600))&lt;IF($G236="",99999999,$G236)))+SUMPRODUCT(($F$2:$F236="Not Started")*($A$2:$A236&lt;&gt;"")*((IF($G$2:$G236="",99999999,$G$2:$G236))=IF($G236="",99999999,$G236))),"")</f>
        <v/>
      </c>
      <c r="P236" s="0" t="str">
        <f aca="false">IF(AND(OR($F236="In Progress",$F236="Pending Client Data",$F236="Under Review"),$A236&lt;&gt;""),SUMPRODUCT((($F$2:$F$600="In Progress")+($F$2:$F$600="Pending Client Data")+($F$2:$F$600="Under Review"))*($A$2:$A$600&lt;&gt;"")*((IF($G$2:$G$600="",99999999,$G$2:$G$600))&lt;IF($G236="",99999999,$G236)))+SUMPRODUCT((($F$2:$F236="In Progress")+($F$2:$F236="Pending Client Data")+($F$2:$F236="Under Review"))*($A$2:$A236&lt;&gt;"")*((IF($G$2:$G236="",99999999,$G$2:$G236))=IF($G236="",99999999,$G236))),"")</f>
        <v/>
      </c>
    </row>
    <row r="237" customFormat="false" ht="15" hidden="false" customHeight="false" outlineLevel="0" collapsed="false">
      <c r="A237" s="9"/>
      <c r="B237" s="9"/>
      <c r="C237" s="10" t="str">
        <f aca="false">IF($B237="","",IFERROR(INDEX('Client Master'!$C:$C,MATCH($B237,'Client Master'!$B:$B,0)),"Code not found"))</f>
        <v/>
      </c>
      <c r="D237" s="9"/>
      <c r="E237" s="9"/>
      <c r="F237" s="9"/>
      <c r="G237" s="11"/>
      <c r="H237" s="11"/>
      <c r="I237" s="9"/>
      <c r="J237" s="12"/>
      <c r="K237" s="11"/>
      <c r="L237" s="9"/>
      <c r="N237" s="0" t="str">
        <f aca="false">IF(AND($J237&gt;0,$K237="",$A237&lt;&gt;""),SUMPRODUCT(($J$2:$J$600&gt;0)*($K$2:$K$600="")*($A$2:$A$600&lt;&gt;"")*((IF($G$2:$G$600="",99999999,$G$2:$G$600))&lt;IF($G237="",99999999,$G237)))+SUMPRODUCT(($J$2:$J237&gt;0)*($K$2:$K237="")*($A$2:$A237&lt;&gt;"")*((IF($G$2:$G237="",99999999,$G$2:$G237))=IF($G237="",99999999,$G237))),"")</f>
        <v/>
      </c>
      <c r="O237" s="0" t="str">
        <f aca="false">IF(AND($F237="Not Started",$A237&lt;&gt;""),SUMPRODUCT(($F$2:$F$600="Not Started")*($A$2:$A$600&lt;&gt;"")*((IF($G$2:$G$600="",99999999,$G$2:$G$600))&lt;IF($G237="",99999999,$G237)))+SUMPRODUCT(($F$2:$F237="Not Started")*($A$2:$A237&lt;&gt;"")*((IF($G$2:$G237="",99999999,$G$2:$G237))=IF($G237="",99999999,$G237))),"")</f>
        <v/>
      </c>
      <c r="P237" s="0" t="str">
        <f aca="false">IF(AND(OR($F237="In Progress",$F237="Pending Client Data",$F237="Under Review"),$A237&lt;&gt;""),SUMPRODUCT((($F$2:$F$600="In Progress")+($F$2:$F$600="Pending Client Data")+($F$2:$F$600="Under Review"))*($A$2:$A$600&lt;&gt;"")*((IF($G$2:$G$600="",99999999,$G$2:$G$600))&lt;IF($G237="",99999999,$G237)))+SUMPRODUCT((($F$2:$F237="In Progress")+($F$2:$F237="Pending Client Data")+($F$2:$F237="Under Review"))*($A$2:$A237&lt;&gt;"")*((IF($G$2:$G237="",99999999,$G$2:$G237))=IF($G237="",99999999,$G237))),"")</f>
        <v/>
      </c>
    </row>
    <row r="238" customFormat="false" ht="15" hidden="false" customHeight="false" outlineLevel="0" collapsed="false">
      <c r="A238" s="9"/>
      <c r="B238" s="9"/>
      <c r="C238" s="10" t="str">
        <f aca="false">IF($B238="","",IFERROR(INDEX('Client Master'!$C:$C,MATCH($B238,'Client Master'!$B:$B,0)),"Code not found"))</f>
        <v/>
      </c>
      <c r="D238" s="9"/>
      <c r="E238" s="9"/>
      <c r="F238" s="9"/>
      <c r="G238" s="11"/>
      <c r="H238" s="11"/>
      <c r="I238" s="9"/>
      <c r="J238" s="12"/>
      <c r="K238" s="11"/>
      <c r="L238" s="9"/>
      <c r="N238" s="0" t="str">
        <f aca="false">IF(AND($J238&gt;0,$K238="",$A238&lt;&gt;""),SUMPRODUCT(($J$2:$J$600&gt;0)*($K$2:$K$600="")*($A$2:$A$600&lt;&gt;"")*((IF($G$2:$G$600="",99999999,$G$2:$G$600))&lt;IF($G238="",99999999,$G238)))+SUMPRODUCT(($J$2:$J238&gt;0)*($K$2:$K238="")*($A$2:$A238&lt;&gt;"")*((IF($G$2:$G238="",99999999,$G$2:$G238))=IF($G238="",99999999,$G238))),"")</f>
        <v/>
      </c>
      <c r="O238" s="0" t="str">
        <f aca="false">IF(AND($F238="Not Started",$A238&lt;&gt;""),SUMPRODUCT(($F$2:$F$600="Not Started")*($A$2:$A$600&lt;&gt;"")*((IF($G$2:$G$600="",99999999,$G$2:$G$600))&lt;IF($G238="",99999999,$G238)))+SUMPRODUCT(($F$2:$F238="Not Started")*($A$2:$A238&lt;&gt;"")*((IF($G$2:$G238="",99999999,$G$2:$G238))=IF($G238="",99999999,$G238))),"")</f>
        <v/>
      </c>
      <c r="P238" s="0" t="str">
        <f aca="false">IF(AND(OR($F238="In Progress",$F238="Pending Client Data",$F238="Under Review"),$A238&lt;&gt;""),SUMPRODUCT((($F$2:$F$600="In Progress")+($F$2:$F$600="Pending Client Data")+($F$2:$F$600="Under Review"))*($A$2:$A$600&lt;&gt;"")*((IF($G$2:$G$600="",99999999,$G$2:$G$600))&lt;IF($G238="",99999999,$G238)))+SUMPRODUCT((($F$2:$F238="In Progress")+($F$2:$F238="Pending Client Data")+($F$2:$F238="Under Review"))*($A$2:$A238&lt;&gt;"")*((IF($G$2:$G238="",99999999,$G$2:$G238))=IF($G238="",99999999,$G238))),"")</f>
        <v/>
      </c>
    </row>
    <row r="239" customFormat="false" ht="15" hidden="false" customHeight="false" outlineLevel="0" collapsed="false">
      <c r="A239" s="9"/>
      <c r="B239" s="9"/>
      <c r="C239" s="10" t="str">
        <f aca="false">IF($B239="","",IFERROR(INDEX('Client Master'!$C:$C,MATCH($B239,'Client Master'!$B:$B,0)),"Code not found"))</f>
        <v/>
      </c>
      <c r="D239" s="9"/>
      <c r="E239" s="9"/>
      <c r="F239" s="9"/>
      <c r="G239" s="11"/>
      <c r="H239" s="11"/>
      <c r="I239" s="9"/>
      <c r="J239" s="12"/>
      <c r="K239" s="11"/>
      <c r="L239" s="9"/>
      <c r="N239" s="0" t="str">
        <f aca="false">IF(AND($J239&gt;0,$K239="",$A239&lt;&gt;""),SUMPRODUCT(($J$2:$J$600&gt;0)*($K$2:$K$600="")*($A$2:$A$600&lt;&gt;"")*((IF($G$2:$G$600="",99999999,$G$2:$G$600))&lt;IF($G239="",99999999,$G239)))+SUMPRODUCT(($J$2:$J239&gt;0)*($K$2:$K239="")*($A$2:$A239&lt;&gt;"")*((IF($G$2:$G239="",99999999,$G$2:$G239))=IF($G239="",99999999,$G239))),"")</f>
        <v/>
      </c>
      <c r="O239" s="0" t="str">
        <f aca="false">IF(AND($F239="Not Started",$A239&lt;&gt;""),SUMPRODUCT(($F$2:$F$600="Not Started")*($A$2:$A$600&lt;&gt;"")*((IF($G$2:$G$600="",99999999,$G$2:$G$600))&lt;IF($G239="",99999999,$G239)))+SUMPRODUCT(($F$2:$F239="Not Started")*($A$2:$A239&lt;&gt;"")*((IF($G$2:$G239="",99999999,$G$2:$G239))=IF($G239="",99999999,$G239))),"")</f>
        <v/>
      </c>
      <c r="P239" s="0" t="str">
        <f aca="false">IF(AND(OR($F239="In Progress",$F239="Pending Client Data",$F239="Under Review"),$A239&lt;&gt;""),SUMPRODUCT((($F$2:$F$600="In Progress")+($F$2:$F$600="Pending Client Data")+($F$2:$F$600="Under Review"))*($A$2:$A$600&lt;&gt;"")*((IF($G$2:$G$600="",99999999,$G$2:$G$600))&lt;IF($G239="",99999999,$G239)))+SUMPRODUCT((($F$2:$F239="In Progress")+($F$2:$F239="Pending Client Data")+($F$2:$F239="Under Review"))*($A$2:$A239&lt;&gt;"")*((IF($G$2:$G239="",99999999,$G$2:$G239))=IF($G239="",99999999,$G239))),"")</f>
        <v/>
      </c>
    </row>
    <row r="240" customFormat="false" ht="15" hidden="false" customHeight="false" outlineLevel="0" collapsed="false">
      <c r="A240" s="9"/>
      <c r="B240" s="9"/>
      <c r="C240" s="10" t="str">
        <f aca="false">IF($B240="","",IFERROR(INDEX('Client Master'!$C:$C,MATCH($B240,'Client Master'!$B:$B,0)),"Code not found"))</f>
        <v/>
      </c>
      <c r="D240" s="9"/>
      <c r="E240" s="9"/>
      <c r="F240" s="9"/>
      <c r="G240" s="11"/>
      <c r="H240" s="11"/>
      <c r="I240" s="9"/>
      <c r="J240" s="12"/>
      <c r="K240" s="11"/>
      <c r="L240" s="9"/>
      <c r="N240" s="0" t="str">
        <f aca="false">IF(AND($J240&gt;0,$K240="",$A240&lt;&gt;""),SUMPRODUCT(($J$2:$J$600&gt;0)*($K$2:$K$600="")*($A$2:$A$600&lt;&gt;"")*((IF($G$2:$G$600="",99999999,$G$2:$G$600))&lt;IF($G240="",99999999,$G240)))+SUMPRODUCT(($J$2:$J240&gt;0)*($K$2:$K240="")*($A$2:$A240&lt;&gt;"")*((IF($G$2:$G240="",99999999,$G$2:$G240))=IF($G240="",99999999,$G240))),"")</f>
        <v/>
      </c>
      <c r="O240" s="0" t="str">
        <f aca="false">IF(AND($F240="Not Started",$A240&lt;&gt;""),SUMPRODUCT(($F$2:$F$600="Not Started")*($A$2:$A$600&lt;&gt;"")*((IF($G$2:$G$600="",99999999,$G$2:$G$600))&lt;IF($G240="",99999999,$G240)))+SUMPRODUCT(($F$2:$F240="Not Started")*($A$2:$A240&lt;&gt;"")*((IF($G$2:$G240="",99999999,$G$2:$G240))=IF($G240="",99999999,$G240))),"")</f>
        <v/>
      </c>
      <c r="P240" s="0" t="str">
        <f aca="false">IF(AND(OR($F240="In Progress",$F240="Pending Client Data",$F240="Under Review"),$A240&lt;&gt;""),SUMPRODUCT((($F$2:$F$600="In Progress")+($F$2:$F$600="Pending Client Data")+($F$2:$F$600="Under Review"))*($A$2:$A$600&lt;&gt;"")*((IF($G$2:$G$600="",99999999,$G$2:$G$600))&lt;IF($G240="",99999999,$G240)))+SUMPRODUCT((($F$2:$F240="In Progress")+($F$2:$F240="Pending Client Data")+($F$2:$F240="Under Review"))*($A$2:$A240&lt;&gt;"")*((IF($G$2:$G240="",99999999,$G$2:$G240))=IF($G240="",99999999,$G240))),"")</f>
        <v/>
      </c>
    </row>
    <row r="241" customFormat="false" ht="15" hidden="false" customHeight="false" outlineLevel="0" collapsed="false">
      <c r="A241" s="9"/>
      <c r="B241" s="9"/>
      <c r="C241" s="10" t="str">
        <f aca="false">IF($B241="","",IFERROR(INDEX('Client Master'!$C:$C,MATCH($B241,'Client Master'!$B:$B,0)),"Code not found"))</f>
        <v/>
      </c>
      <c r="D241" s="9"/>
      <c r="E241" s="9"/>
      <c r="F241" s="9"/>
      <c r="G241" s="11"/>
      <c r="H241" s="11"/>
      <c r="I241" s="9"/>
      <c r="J241" s="12"/>
      <c r="K241" s="11"/>
      <c r="L241" s="9"/>
      <c r="N241" s="0" t="str">
        <f aca="false">IF(AND($J241&gt;0,$K241="",$A241&lt;&gt;""),SUMPRODUCT(($J$2:$J$600&gt;0)*($K$2:$K$600="")*($A$2:$A$600&lt;&gt;"")*((IF($G$2:$G$600="",99999999,$G$2:$G$600))&lt;IF($G241="",99999999,$G241)))+SUMPRODUCT(($J$2:$J241&gt;0)*($K$2:$K241="")*($A$2:$A241&lt;&gt;"")*((IF($G$2:$G241="",99999999,$G$2:$G241))=IF($G241="",99999999,$G241))),"")</f>
        <v/>
      </c>
      <c r="O241" s="0" t="str">
        <f aca="false">IF(AND($F241="Not Started",$A241&lt;&gt;""),SUMPRODUCT(($F$2:$F$600="Not Started")*($A$2:$A$600&lt;&gt;"")*((IF($G$2:$G$600="",99999999,$G$2:$G$600))&lt;IF($G241="",99999999,$G241)))+SUMPRODUCT(($F$2:$F241="Not Started")*($A$2:$A241&lt;&gt;"")*((IF($G$2:$G241="",99999999,$G$2:$G241))=IF($G241="",99999999,$G241))),"")</f>
        <v/>
      </c>
      <c r="P241" s="0" t="str">
        <f aca="false">IF(AND(OR($F241="In Progress",$F241="Pending Client Data",$F241="Under Review"),$A241&lt;&gt;""),SUMPRODUCT((($F$2:$F$600="In Progress")+($F$2:$F$600="Pending Client Data")+($F$2:$F$600="Under Review"))*($A$2:$A$600&lt;&gt;"")*((IF($G$2:$G$600="",99999999,$G$2:$G$600))&lt;IF($G241="",99999999,$G241)))+SUMPRODUCT((($F$2:$F241="In Progress")+($F$2:$F241="Pending Client Data")+($F$2:$F241="Under Review"))*($A$2:$A241&lt;&gt;"")*((IF($G$2:$G241="",99999999,$G$2:$G241))=IF($G241="",99999999,$G241))),"")</f>
        <v/>
      </c>
    </row>
    <row r="242" customFormat="false" ht="15" hidden="false" customHeight="false" outlineLevel="0" collapsed="false">
      <c r="A242" s="9"/>
      <c r="B242" s="9"/>
      <c r="C242" s="10" t="str">
        <f aca="false">IF($B242="","",IFERROR(INDEX('Client Master'!$C:$C,MATCH($B242,'Client Master'!$B:$B,0)),"Code not found"))</f>
        <v/>
      </c>
      <c r="D242" s="9"/>
      <c r="E242" s="9"/>
      <c r="F242" s="9"/>
      <c r="G242" s="11"/>
      <c r="H242" s="11"/>
      <c r="I242" s="9"/>
      <c r="J242" s="12"/>
      <c r="K242" s="11"/>
      <c r="L242" s="9"/>
      <c r="N242" s="0" t="str">
        <f aca="false">IF(AND($J242&gt;0,$K242="",$A242&lt;&gt;""),SUMPRODUCT(($J$2:$J$600&gt;0)*($K$2:$K$600="")*($A$2:$A$600&lt;&gt;"")*((IF($G$2:$G$600="",99999999,$G$2:$G$600))&lt;IF($G242="",99999999,$G242)))+SUMPRODUCT(($J$2:$J242&gt;0)*($K$2:$K242="")*($A$2:$A242&lt;&gt;"")*((IF($G$2:$G242="",99999999,$G$2:$G242))=IF($G242="",99999999,$G242))),"")</f>
        <v/>
      </c>
      <c r="O242" s="0" t="str">
        <f aca="false">IF(AND($F242="Not Started",$A242&lt;&gt;""),SUMPRODUCT(($F$2:$F$600="Not Started")*($A$2:$A$600&lt;&gt;"")*((IF($G$2:$G$600="",99999999,$G$2:$G$600))&lt;IF($G242="",99999999,$G242)))+SUMPRODUCT(($F$2:$F242="Not Started")*($A$2:$A242&lt;&gt;"")*((IF($G$2:$G242="",99999999,$G$2:$G242))=IF($G242="",99999999,$G242))),"")</f>
        <v/>
      </c>
      <c r="P242" s="0" t="str">
        <f aca="false">IF(AND(OR($F242="In Progress",$F242="Pending Client Data",$F242="Under Review"),$A242&lt;&gt;""),SUMPRODUCT((($F$2:$F$600="In Progress")+($F$2:$F$600="Pending Client Data")+($F$2:$F$600="Under Review"))*($A$2:$A$600&lt;&gt;"")*((IF($G$2:$G$600="",99999999,$G$2:$G$600))&lt;IF($G242="",99999999,$G242)))+SUMPRODUCT((($F$2:$F242="In Progress")+($F$2:$F242="Pending Client Data")+($F$2:$F242="Under Review"))*($A$2:$A242&lt;&gt;"")*((IF($G$2:$G242="",99999999,$G$2:$G242))=IF($G242="",99999999,$G242))),"")</f>
        <v/>
      </c>
    </row>
    <row r="243" customFormat="false" ht="15" hidden="false" customHeight="false" outlineLevel="0" collapsed="false">
      <c r="A243" s="9"/>
      <c r="B243" s="9"/>
      <c r="C243" s="10" t="str">
        <f aca="false">IF($B243="","",IFERROR(INDEX('Client Master'!$C:$C,MATCH($B243,'Client Master'!$B:$B,0)),"Code not found"))</f>
        <v/>
      </c>
      <c r="D243" s="9"/>
      <c r="E243" s="9"/>
      <c r="F243" s="9"/>
      <c r="G243" s="11"/>
      <c r="H243" s="11"/>
      <c r="I243" s="9"/>
      <c r="J243" s="12"/>
      <c r="K243" s="11"/>
      <c r="L243" s="9"/>
      <c r="N243" s="0" t="str">
        <f aca="false">IF(AND($J243&gt;0,$K243="",$A243&lt;&gt;""),SUMPRODUCT(($J$2:$J$600&gt;0)*($K$2:$K$600="")*($A$2:$A$600&lt;&gt;"")*((IF($G$2:$G$600="",99999999,$G$2:$G$600))&lt;IF($G243="",99999999,$G243)))+SUMPRODUCT(($J$2:$J243&gt;0)*($K$2:$K243="")*($A$2:$A243&lt;&gt;"")*((IF($G$2:$G243="",99999999,$G$2:$G243))=IF($G243="",99999999,$G243))),"")</f>
        <v/>
      </c>
      <c r="O243" s="0" t="str">
        <f aca="false">IF(AND($F243="Not Started",$A243&lt;&gt;""),SUMPRODUCT(($F$2:$F$600="Not Started")*($A$2:$A$600&lt;&gt;"")*((IF($G$2:$G$600="",99999999,$G$2:$G$600))&lt;IF($G243="",99999999,$G243)))+SUMPRODUCT(($F$2:$F243="Not Started")*($A$2:$A243&lt;&gt;"")*((IF($G$2:$G243="",99999999,$G$2:$G243))=IF($G243="",99999999,$G243))),"")</f>
        <v/>
      </c>
      <c r="P243" s="0" t="str">
        <f aca="false">IF(AND(OR($F243="In Progress",$F243="Pending Client Data",$F243="Under Review"),$A243&lt;&gt;""),SUMPRODUCT((($F$2:$F$600="In Progress")+($F$2:$F$600="Pending Client Data")+($F$2:$F$600="Under Review"))*($A$2:$A$600&lt;&gt;"")*((IF($G$2:$G$600="",99999999,$G$2:$G$600))&lt;IF($G243="",99999999,$G243)))+SUMPRODUCT((($F$2:$F243="In Progress")+($F$2:$F243="Pending Client Data")+($F$2:$F243="Under Review"))*($A$2:$A243&lt;&gt;"")*((IF($G$2:$G243="",99999999,$G$2:$G243))=IF($G243="",99999999,$G243))),"")</f>
        <v/>
      </c>
    </row>
    <row r="244" customFormat="false" ht="15" hidden="false" customHeight="false" outlineLevel="0" collapsed="false">
      <c r="A244" s="9"/>
      <c r="B244" s="9"/>
      <c r="C244" s="10" t="str">
        <f aca="false">IF($B244="","",IFERROR(INDEX('Client Master'!$C:$C,MATCH($B244,'Client Master'!$B:$B,0)),"Code not found"))</f>
        <v/>
      </c>
      <c r="D244" s="9"/>
      <c r="E244" s="9"/>
      <c r="F244" s="9"/>
      <c r="G244" s="11"/>
      <c r="H244" s="11"/>
      <c r="I244" s="9"/>
      <c r="J244" s="12"/>
      <c r="K244" s="11"/>
      <c r="L244" s="9"/>
      <c r="N244" s="0" t="str">
        <f aca="false">IF(AND($J244&gt;0,$K244="",$A244&lt;&gt;""),SUMPRODUCT(($J$2:$J$600&gt;0)*($K$2:$K$600="")*($A$2:$A$600&lt;&gt;"")*((IF($G$2:$G$600="",99999999,$G$2:$G$600))&lt;IF($G244="",99999999,$G244)))+SUMPRODUCT(($J$2:$J244&gt;0)*($K$2:$K244="")*($A$2:$A244&lt;&gt;"")*((IF($G$2:$G244="",99999999,$G$2:$G244))=IF($G244="",99999999,$G244))),"")</f>
        <v/>
      </c>
      <c r="O244" s="0" t="str">
        <f aca="false">IF(AND($F244="Not Started",$A244&lt;&gt;""),SUMPRODUCT(($F$2:$F$600="Not Started")*($A$2:$A$600&lt;&gt;"")*((IF($G$2:$G$600="",99999999,$G$2:$G$600))&lt;IF($G244="",99999999,$G244)))+SUMPRODUCT(($F$2:$F244="Not Started")*($A$2:$A244&lt;&gt;"")*((IF($G$2:$G244="",99999999,$G$2:$G244))=IF($G244="",99999999,$G244))),"")</f>
        <v/>
      </c>
      <c r="P244" s="0" t="str">
        <f aca="false">IF(AND(OR($F244="In Progress",$F244="Pending Client Data",$F244="Under Review"),$A244&lt;&gt;""),SUMPRODUCT((($F$2:$F$600="In Progress")+($F$2:$F$600="Pending Client Data")+($F$2:$F$600="Under Review"))*($A$2:$A$600&lt;&gt;"")*((IF($G$2:$G$600="",99999999,$G$2:$G$600))&lt;IF($G244="",99999999,$G244)))+SUMPRODUCT((($F$2:$F244="In Progress")+($F$2:$F244="Pending Client Data")+($F$2:$F244="Under Review"))*($A$2:$A244&lt;&gt;"")*((IF($G$2:$G244="",99999999,$G$2:$G244))=IF($G244="",99999999,$G244))),"")</f>
        <v/>
      </c>
    </row>
    <row r="245" customFormat="false" ht="15" hidden="false" customHeight="false" outlineLevel="0" collapsed="false">
      <c r="A245" s="9"/>
      <c r="B245" s="9"/>
      <c r="C245" s="10" t="str">
        <f aca="false">IF($B245="","",IFERROR(INDEX('Client Master'!$C:$C,MATCH($B245,'Client Master'!$B:$B,0)),"Code not found"))</f>
        <v/>
      </c>
      <c r="D245" s="9"/>
      <c r="E245" s="9"/>
      <c r="F245" s="9"/>
      <c r="G245" s="11"/>
      <c r="H245" s="11"/>
      <c r="I245" s="9"/>
      <c r="J245" s="12"/>
      <c r="K245" s="11"/>
      <c r="L245" s="9"/>
      <c r="N245" s="0" t="str">
        <f aca="false">IF(AND($J245&gt;0,$K245="",$A245&lt;&gt;""),SUMPRODUCT(($J$2:$J$600&gt;0)*($K$2:$K$600="")*($A$2:$A$600&lt;&gt;"")*((IF($G$2:$G$600="",99999999,$G$2:$G$600))&lt;IF($G245="",99999999,$G245)))+SUMPRODUCT(($J$2:$J245&gt;0)*($K$2:$K245="")*($A$2:$A245&lt;&gt;"")*((IF($G$2:$G245="",99999999,$G$2:$G245))=IF($G245="",99999999,$G245))),"")</f>
        <v/>
      </c>
      <c r="O245" s="0" t="str">
        <f aca="false">IF(AND($F245="Not Started",$A245&lt;&gt;""),SUMPRODUCT(($F$2:$F$600="Not Started")*($A$2:$A$600&lt;&gt;"")*((IF($G$2:$G$600="",99999999,$G$2:$G$600))&lt;IF($G245="",99999999,$G245)))+SUMPRODUCT(($F$2:$F245="Not Started")*($A$2:$A245&lt;&gt;"")*((IF($G$2:$G245="",99999999,$G$2:$G245))=IF($G245="",99999999,$G245))),"")</f>
        <v/>
      </c>
      <c r="P245" s="0" t="str">
        <f aca="false">IF(AND(OR($F245="In Progress",$F245="Pending Client Data",$F245="Under Review"),$A245&lt;&gt;""),SUMPRODUCT((($F$2:$F$600="In Progress")+($F$2:$F$600="Pending Client Data")+($F$2:$F$600="Under Review"))*($A$2:$A$600&lt;&gt;"")*((IF($G$2:$G$600="",99999999,$G$2:$G$600))&lt;IF($G245="",99999999,$G245)))+SUMPRODUCT((($F$2:$F245="In Progress")+($F$2:$F245="Pending Client Data")+($F$2:$F245="Under Review"))*($A$2:$A245&lt;&gt;"")*((IF($G$2:$G245="",99999999,$G$2:$G245))=IF($G245="",99999999,$G245))),"")</f>
        <v/>
      </c>
    </row>
    <row r="246" customFormat="false" ht="15" hidden="false" customHeight="false" outlineLevel="0" collapsed="false">
      <c r="A246" s="9"/>
      <c r="B246" s="9"/>
      <c r="C246" s="10" t="str">
        <f aca="false">IF($B246="","",IFERROR(INDEX('Client Master'!$C:$C,MATCH($B246,'Client Master'!$B:$B,0)),"Code not found"))</f>
        <v/>
      </c>
      <c r="D246" s="9"/>
      <c r="E246" s="9"/>
      <c r="F246" s="9"/>
      <c r="G246" s="11"/>
      <c r="H246" s="11"/>
      <c r="I246" s="9"/>
      <c r="J246" s="12"/>
      <c r="K246" s="11"/>
      <c r="L246" s="9"/>
      <c r="N246" s="0" t="str">
        <f aca="false">IF(AND($J246&gt;0,$K246="",$A246&lt;&gt;""),SUMPRODUCT(($J$2:$J$600&gt;0)*($K$2:$K$600="")*($A$2:$A$600&lt;&gt;"")*((IF($G$2:$G$600="",99999999,$G$2:$G$600))&lt;IF($G246="",99999999,$G246)))+SUMPRODUCT(($J$2:$J246&gt;0)*($K$2:$K246="")*($A$2:$A246&lt;&gt;"")*((IF($G$2:$G246="",99999999,$G$2:$G246))=IF($G246="",99999999,$G246))),"")</f>
        <v/>
      </c>
      <c r="O246" s="0" t="str">
        <f aca="false">IF(AND($F246="Not Started",$A246&lt;&gt;""),SUMPRODUCT(($F$2:$F$600="Not Started")*($A$2:$A$600&lt;&gt;"")*((IF($G$2:$G$600="",99999999,$G$2:$G$600))&lt;IF($G246="",99999999,$G246)))+SUMPRODUCT(($F$2:$F246="Not Started")*($A$2:$A246&lt;&gt;"")*((IF($G$2:$G246="",99999999,$G$2:$G246))=IF($G246="",99999999,$G246))),"")</f>
        <v/>
      </c>
      <c r="P246" s="0" t="str">
        <f aca="false">IF(AND(OR($F246="In Progress",$F246="Pending Client Data",$F246="Under Review"),$A246&lt;&gt;""),SUMPRODUCT((($F$2:$F$600="In Progress")+($F$2:$F$600="Pending Client Data")+($F$2:$F$600="Under Review"))*($A$2:$A$600&lt;&gt;"")*((IF($G$2:$G$600="",99999999,$G$2:$G$600))&lt;IF($G246="",99999999,$G246)))+SUMPRODUCT((($F$2:$F246="In Progress")+($F$2:$F246="Pending Client Data")+($F$2:$F246="Under Review"))*($A$2:$A246&lt;&gt;"")*((IF($G$2:$G246="",99999999,$G$2:$G246))=IF($G246="",99999999,$G246))),"")</f>
        <v/>
      </c>
    </row>
    <row r="247" customFormat="false" ht="15" hidden="false" customHeight="false" outlineLevel="0" collapsed="false">
      <c r="A247" s="9"/>
      <c r="B247" s="9"/>
      <c r="C247" s="10" t="str">
        <f aca="false">IF($B247="","",IFERROR(INDEX('Client Master'!$C:$C,MATCH($B247,'Client Master'!$B:$B,0)),"Code not found"))</f>
        <v/>
      </c>
      <c r="D247" s="9"/>
      <c r="E247" s="9"/>
      <c r="F247" s="9"/>
      <c r="G247" s="11"/>
      <c r="H247" s="11"/>
      <c r="I247" s="9"/>
      <c r="J247" s="12"/>
      <c r="K247" s="11"/>
      <c r="L247" s="9"/>
      <c r="N247" s="0" t="str">
        <f aca="false">IF(AND($J247&gt;0,$K247="",$A247&lt;&gt;""),SUMPRODUCT(($J$2:$J$600&gt;0)*($K$2:$K$600="")*($A$2:$A$600&lt;&gt;"")*((IF($G$2:$G$600="",99999999,$G$2:$G$600))&lt;IF($G247="",99999999,$G247)))+SUMPRODUCT(($J$2:$J247&gt;0)*($K$2:$K247="")*($A$2:$A247&lt;&gt;"")*((IF($G$2:$G247="",99999999,$G$2:$G247))=IF($G247="",99999999,$G247))),"")</f>
        <v/>
      </c>
      <c r="O247" s="0" t="str">
        <f aca="false">IF(AND($F247="Not Started",$A247&lt;&gt;""),SUMPRODUCT(($F$2:$F$600="Not Started")*($A$2:$A$600&lt;&gt;"")*((IF($G$2:$G$600="",99999999,$G$2:$G$600))&lt;IF($G247="",99999999,$G247)))+SUMPRODUCT(($F$2:$F247="Not Started")*($A$2:$A247&lt;&gt;"")*((IF($G$2:$G247="",99999999,$G$2:$G247))=IF($G247="",99999999,$G247))),"")</f>
        <v/>
      </c>
      <c r="P247" s="0" t="str">
        <f aca="false">IF(AND(OR($F247="In Progress",$F247="Pending Client Data",$F247="Under Review"),$A247&lt;&gt;""),SUMPRODUCT((($F$2:$F$600="In Progress")+($F$2:$F$600="Pending Client Data")+($F$2:$F$600="Under Review"))*($A$2:$A$600&lt;&gt;"")*((IF($G$2:$G$600="",99999999,$G$2:$G$600))&lt;IF($G247="",99999999,$G247)))+SUMPRODUCT((($F$2:$F247="In Progress")+($F$2:$F247="Pending Client Data")+($F$2:$F247="Under Review"))*($A$2:$A247&lt;&gt;"")*((IF($G$2:$G247="",99999999,$G$2:$G247))=IF($G247="",99999999,$G247))),"")</f>
        <v/>
      </c>
    </row>
    <row r="248" customFormat="false" ht="15" hidden="false" customHeight="false" outlineLevel="0" collapsed="false">
      <c r="A248" s="9"/>
      <c r="B248" s="9"/>
      <c r="C248" s="10" t="str">
        <f aca="false">IF($B248="","",IFERROR(INDEX('Client Master'!$C:$C,MATCH($B248,'Client Master'!$B:$B,0)),"Code not found"))</f>
        <v/>
      </c>
      <c r="D248" s="9"/>
      <c r="E248" s="9"/>
      <c r="F248" s="9"/>
      <c r="G248" s="11"/>
      <c r="H248" s="11"/>
      <c r="I248" s="9"/>
      <c r="J248" s="12"/>
      <c r="K248" s="11"/>
      <c r="L248" s="9"/>
      <c r="N248" s="0" t="str">
        <f aca="false">IF(AND($J248&gt;0,$K248="",$A248&lt;&gt;""),SUMPRODUCT(($J$2:$J$600&gt;0)*($K$2:$K$600="")*($A$2:$A$600&lt;&gt;"")*((IF($G$2:$G$600="",99999999,$G$2:$G$600))&lt;IF($G248="",99999999,$G248)))+SUMPRODUCT(($J$2:$J248&gt;0)*($K$2:$K248="")*($A$2:$A248&lt;&gt;"")*((IF($G$2:$G248="",99999999,$G$2:$G248))=IF($G248="",99999999,$G248))),"")</f>
        <v/>
      </c>
      <c r="O248" s="0" t="str">
        <f aca="false">IF(AND($F248="Not Started",$A248&lt;&gt;""),SUMPRODUCT(($F$2:$F$600="Not Started")*($A$2:$A$600&lt;&gt;"")*((IF($G$2:$G$600="",99999999,$G$2:$G$600))&lt;IF($G248="",99999999,$G248)))+SUMPRODUCT(($F$2:$F248="Not Started")*($A$2:$A248&lt;&gt;"")*((IF($G$2:$G248="",99999999,$G$2:$G248))=IF($G248="",99999999,$G248))),"")</f>
        <v/>
      </c>
      <c r="P248" s="0" t="str">
        <f aca="false">IF(AND(OR($F248="In Progress",$F248="Pending Client Data",$F248="Under Review"),$A248&lt;&gt;""),SUMPRODUCT((($F$2:$F$600="In Progress")+($F$2:$F$600="Pending Client Data")+($F$2:$F$600="Under Review"))*($A$2:$A$600&lt;&gt;"")*((IF($G$2:$G$600="",99999999,$G$2:$G$600))&lt;IF($G248="",99999999,$G248)))+SUMPRODUCT((($F$2:$F248="In Progress")+($F$2:$F248="Pending Client Data")+($F$2:$F248="Under Review"))*($A$2:$A248&lt;&gt;"")*((IF($G$2:$G248="",99999999,$G$2:$G248))=IF($G248="",99999999,$G248))),"")</f>
        <v/>
      </c>
    </row>
    <row r="249" customFormat="false" ht="15" hidden="false" customHeight="false" outlineLevel="0" collapsed="false">
      <c r="A249" s="9"/>
      <c r="B249" s="9"/>
      <c r="C249" s="10" t="str">
        <f aca="false">IF($B249="","",IFERROR(INDEX('Client Master'!$C:$C,MATCH($B249,'Client Master'!$B:$B,0)),"Code not found"))</f>
        <v/>
      </c>
      <c r="D249" s="9"/>
      <c r="E249" s="9"/>
      <c r="F249" s="9"/>
      <c r="G249" s="11"/>
      <c r="H249" s="11"/>
      <c r="I249" s="9"/>
      <c r="J249" s="12"/>
      <c r="K249" s="11"/>
      <c r="L249" s="9"/>
      <c r="N249" s="0" t="str">
        <f aca="false">IF(AND($J249&gt;0,$K249="",$A249&lt;&gt;""),SUMPRODUCT(($J$2:$J$600&gt;0)*($K$2:$K$600="")*($A$2:$A$600&lt;&gt;"")*((IF($G$2:$G$600="",99999999,$G$2:$G$600))&lt;IF($G249="",99999999,$G249)))+SUMPRODUCT(($J$2:$J249&gt;0)*($K$2:$K249="")*($A$2:$A249&lt;&gt;"")*((IF($G$2:$G249="",99999999,$G$2:$G249))=IF($G249="",99999999,$G249))),"")</f>
        <v/>
      </c>
      <c r="O249" s="0" t="str">
        <f aca="false">IF(AND($F249="Not Started",$A249&lt;&gt;""),SUMPRODUCT(($F$2:$F$600="Not Started")*($A$2:$A$600&lt;&gt;"")*((IF($G$2:$G$600="",99999999,$G$2:$G$600))&lt;IF($G249="",99999999,$G249)))+SUMPRODUCT(($F$2:$F249="Not Started")*($A$2:$A249&lt;&gt;"")*((IF($G$2:$G249="",99999999,$G$2:$G249))=IF($G249="",99999999,$G249))),"")</f>
        <v/>
      </c>
      <c r="P249" s="0" t="str">
        <f aca="false">IF(AND(OR($F249="In Progress",$F249="Pending Client Data",$F249="Under Review"),$A249&lt;&gt;""),SUMPRODUCT((($F$2:$F$600="In Progress")+($F$2:$F$600="Pending Client Data")+($F$2:$F$600="Under Review"))*($A$2:$A$600&lt;&gt;"")*((IF($G$2:$G$600="",99999999,$G$2:$G$600))&lt;IF($G249="",99999999,$G249)))+SUMPRODUCT((($F$2:$F249="In Progress")+($F$2:$F249="Pending Client Data")+($F$2:$F249="Under Review"))*($A$2:$A249&lt;&gt;"")*((IF($G$2:$G249="",99999999,$G$2:$G249))=IF($G249="",99999999,$G249))),"")</f>
        <v/>
      </c>
    </row>
    <row r="250" customFormat="false" ht="15" hidden="false" customHeight="false" outlineLevel="0" collapsed="false">
      <c r="A250" s="9"/>
      <c r="B250" s="9"/>
      <c r="C250" s="10" t="str">
        <f aca="false">IF($B250="","",IFERROR(INDEX('Client Master'!$C:$C,MATCH($B250,'Client Master'!$B:$B,0)),"Code not found"))</f>
        <v/>
      </c>
      <c r="D250" s="9"/>
      <c r="E250" s="9"/>
      <c r="F250" s="9"/>
      <c r="G250" s="11"/>
      <c r="H250" s="11"/>
      <c r="I250" s="9"/>
      <c r="J250" s="12"/>
      <c r="K250" s="11"/>
      <c r="L250" s="9"/>
      <c r="N250" s="0" t="str">
        <f aca="false">IF(AND($J250&gt;0,$K250="",$A250&lt;&gt;""),SUMPRODUCT(($J$2:$J$600&gt;0)*($K$2:$K$600="")*($A$2:$A$600&lt;&gt;"")*((IF($G$2:$G$600="",99999999,$G$2:$G$600))&lt;IF($G250="",99999999,$G250)))+SUMPRODUCT(($J$2:$J250&gt;0)*($K$2:$K250="")*($A$2:$A250&lt;&gt;"")*((IF($G$2:$G250="",99999999,$G$2:$G250))=IF($G250="",99999999,$G250))),"")</f>
        <v/>
      </c>
      <c r="O250" s="0" t="str">
        <f aca="false">IF(AND($F250="Not Started",$A250&lt;&gt;""),SUMPRODUCT(($F$2:$F$600="Not Started")*($A$2:$A$600&lt;&gt;"")*((IF($G$2:$G$600="",99999999,$G$2:$G$600))&lt;IF($G250="",99999999,$G250)))+SUMPRODUCT(($F$2:$F250="Not Started")*($A$2:$A250&lt;&gt;"")*((IF($G$2:$G250="",99999999,$G$2:$G250))=IF($G250="",99999999,$G250))),"")</f>
        <v/>
      </c>
      <c r="P250" s="0" t="str">
        <f aca="false">IF(AND(OR($F250="In Progress",$F250="Pending Client Data",$F250="Under Review"),$A250&lt;&gt;""),SUMPRODUCT((($F$2:$F$600="In Progress")+($F$2:$F$600="Pending Client Data")+($F$2:$F$600="Under Review"))*($A$2:$A$600&lt;&gt;"")*((IF($G$2:$G$600="",99999999,$G$2:$G$600))&lt;IF($G250="",99999999,$G250)))+SUMPRODUCT((($F$2:$F250="In Progress")+($F$2:$F250="Pending Client Data")+($F$2:$F250="Under Review"))*($A$2:$A250&lt;&gt;"")*((IF($G$2:$G250="",99999999,$G$2:$G250))=IF($G250="",99999999,$G250))),"")</f>
        <v/>
      </c>
    </row>
    <row r="251" customFormat="false" ht="15" hidden="false" customHeight="false" outlineLevel="0" collapsed="false">
      <c r="A251" s="9"/>
      <c r="B251" s="9"/>
      <c r="C251" s="10" t="str">
        <f aca="false">IF($B251="","",IFERROR(INDEX('Client Master'!$C:$C,MATCH($B251,'Client Master'!$B:$B,0)),"Code not found"))</f>
        <v/>
      </c>
      <c r="D251" s="9"/>
      <c r="E251" s="9"/>
      <c r="F251" s="9"/>
      <c r="G251" s="11"/>
      <c r="H251" s="11"/>
      <c r="I251" s="9"/>
      <c r="J251" s="12"/>
      <c r="K251" s="11"/>
      <c r="L251" s="9"/>
      <c r="N251" s="0" t="str">
        <f aca="false">IF(AND($J251&gt;0,$K251="",$A251&lt;&gt;""),SUMPRODUCT(($J$2:$J$600&gt;0)*($K$2:$K$600="")*($A$2:$A$600&lt;&gt;"")*((IF($G$2:$G$600="",99999999,$G$2:$G$600))&lt;IF($G251="",99999999,$G251)))+SUMPRODUCT(($J$2:$J251&gt;0)*($K$2:$K251="")*($A$2:$A251&lt;&gt;"")*((IF($G$2:$G251="",99999999,$G$2:$G251))=IF($G251="",99999999,$G251))),"")</f>
        <v/>
      </c>
      <c r="O251" s="0" t="str">
        <f aca="false">IF(AND($F251="Not Started",$A251&lt;&gt;""),SUMPRODUCT(($F$2:$F$600="Not Started")*($A$2:$A$600&lt;&gt;"")*((IF($G$2:$G$600="",99999999,$G$2:$G$600))&lt;IF($G251="",99999999,$G251)))+SUMPRODUCT(($F$2:$F251="Not Started")*($A$2:$A251&lt;&gt;"")*((IF($G$2:$G251="",99999999,$G$2:$G251))=IF($G251="",99999999,$G251))),"")</f>
        <v/>
      </c>
      <c r="P251" s="0" t="str">
        <f aca="false">IF(AND(OR($F251="In Progress",$F251="Pending Client Data",$F251="Under Review"),$A251&lt;&gt;""),SUMPRODUCT((($F$2:$F$600="In Progress")+($F$2:$F$600="Pending Client Data")+($F$2:$F$600="Under Review"))*($A$2:$A$600&lt;&gt;"")*((IF($G$2:$G$600="",99999999,$G$2:$G$600))&lt;IF($G251="",99999999,$G251)))+SUMPRODUCT((($F$2:$F251="In Progress")+($F$2:$F251="Pending Client Data")+($F$2:$F251="Under Review"))*($A$2:$A251&lt;&gt;"")*((IF($G$2:$G251="",99999999,$G$2:$G251))=IF($G251="",99999999,$G251))),"")</f>
        <v/>
      </c>
    </row>
    <row r="252" customFormat="false" ht="15" hidden="false" customHeight="false" outlineLevel="0" collapsed="false">
      <c r="A252" s="9"/>
      <c r="B252" s="9"/>
      <c r="C252" s="10" t="str">
        <f aca="false">IF($B252="","",IFERROR(INDEX('Client Master'!$C:$C,MATCH($B252,'Client Master'!$B:$B,0)),"Code not found"))</f>
        <v/>
      </c>
      <c r="D252" s="9"/>
      <c r="E252" s="9"/>
      <c r="F252" s="9"/>
      <c r="G252" s="11"/>
      <c r="H252" s="11"/>
      <c r="I252" s="9"/>
      <c r="J252" s="12"/>
      <c r="K252" s="11"/>
      <c r="L252" s="9"/>
      <c r="N252" s="0" t="str">
        <f aca="false">IF(AND($J252&gt;0,$K252="",$A252&lt;&gt;""),SUMPRODUCT(($J$2:$J$600&gt;0)*($K$2:$K$600="")*($A$2:$A$600&lt;&gt;"")*((IF($G$2:$G$600="",99999999,$G$2:$G$600))&lt;IF($G252="",99999999,$G252)))+SUMPRODUCT(($J$2:$J252&gt;0)*($K$2:$K252="")*($A$2:$A252&lt;&gt;"")*((IF($G$2:$G252="",99999999,$G$2:$G252))=IF($G252="",99999999,$G252))),"")</f>
        <v/>
      </c>
      <c r="O252" s="0" t="str">
        <f aca="false">IF(AND($F252="Not Started",$A252&lt;&gt;""),SUMPRODUCT(($F$2:$F$600="Not Started")*($A$2:$A$600&lt;&gt;"")*((IF($G$2:$G$600="",99999999,$G$2:$G$600))&lt;IF($G252="",99999999,$G252)))+SUMPRODUCT(($F$2:$F252="Not Started")*($A$2:$A252&lt;&gt;"")*((IF($G$2:$G252="",99999999,$G$2:$G252))=IF($G252="",99999999,$G252))),"")</f>
        <v/>
      </c>
      <c r="P252" s="0" t="str">
        <f aca="false">IF(AND(OR($F252="In Progress",$F252="Pending Client Data",$F252="Under Review"),$A252&lt;&gt;""),SUMPRODUCT((($F$2:$F$600="In Progress")+($F$2:$F$600="Pending Client Data")+($F$2:$F$600="Under Review"))*($A$2:$A$600&lt;&gt;"")*((IF($G$2:$G$600="",99999999,$G$2:$G$600))&lt;IF($G252="",99999999,$G252)))+SUMPRODUCT((($F$2:$F252="In Progress")+($F$2:$F252="Pending Client Data")+($F$2:$F252="Under Review"))*($A$2:$A252&lt;&gt;"")*((IF($G$2:$G252="",99999999,$G$2:$G252))=IF($G252="",99999999,$G252))),"")</f>
        <v/>
      </c>
    </row>
    <row r="253" customFormat="false" ht="15" hidden="false" customHeight="false" outlineLevel="0" collapsed="false">
      <c r="A253" s="9"/>
      <c r="B253" s="9"/>
      <c r="C253" s="10" t="str">
        <f aca="false">IF($B253="","",IFERROR(INDEX('Client Master'!$C:$C,MATCH($B253,'Client Master'!$B:$B,0)),"Code not found"))</f>
        <v/>
      </c>
      <c r="D253" s="9"/>
      <c r="E253" s="9"/>
      <c r="F253" s="9"/>
      <c r="G253" s="11"/>
      <c r="H253" s="11"/>
      <c r="I253" s="9"/>
      <c r="J253" s="12"/>
      <c r="K253" s="11"/>
      <c r="L253" s="9"/>
      <c r="N253" s="0" t="str">
        <f aca="false">IF(AND($J253&gt;0,$K253="",$A253&lt;&gt;""),SUMPRODUCT(($J$2:$J$600&gt;0)*($K$2:$K$600="")*($A$2:$A$600&lt;&gt;"")*((IF($G$2:$G$600="",99999999,$G$2:$G$600))&lt;IF($G253="",99999999,$G253)))+SUMPRODUCT(($J$2:$J253&gt;0)*($K$2:$K253="")*($A$2:$A253&lt;&gt;"")*((IF($G$2:$G253="",99999999,$G$2:$G253))=IF($G253="",99999999,$G253))),"")</f>
        <v/>
      </c>
      <c r="O253" s="0" t="str">
        <f aca="false">IF(AND($F253="Not Started",$A253&lt;&gt;""),SUMPRODUCT(($F$2:$F$600="Not Started")*($A$2:$A$600&lt;&gt;"")*((IF($G$2:$G$600="",99999999,$G$2:$G$600))&lt;IF($G253="",99999999,$G253)))+SUMPRODUCT(($F$2:$F253="Not Started")*($A$2:$A253&lt;&gt;"")*((IF($G$2:$G253="",99999999,$G$2:$G253))=IF($G253="",99999999,$G253))),"")</f>
        <v/>
      </c>
      <c r="P253" s="0" t="str">
        <f aca="false">IF(AND(OR($F253="In Progress",$F253="Pending Client Data",$F253="Under Review"),$A253&lt;&gt;""),SUMPRODUCT((($F$2:$F$600="In Progress")+($F$2:$F$600="Pending Client Data")+($F$2:$F$600="Under Review"))*($A$2:$A$600&lt;&gt;"")*((IF($G$2:$G$600="",99999999,$G$2:$G$600))&lt;IF($G253="",99999999,$G253)))+SUMPRODUCT((($F$2:$F253="In Progress")+($F$2:$F253="Pending Client Data")+($F$2:$F253="Under Review"))*($A$2:$A253&lt;&gt;"")*((IF($G$2:$G253="",99999999,$G$2:$G253))=IF($G253="",99999999,$G253))),"")</f>
        <v/>
      </c>
    </row>
    <row r="254" customFormat="false" ht="15" hidden="false" customHeight="false" outlineLevel="0" collapsed="false">
      <c r="A254" s="9"/>
      <c r="B254" s="9"/>
      <c r="C254" s="10" t="str">
        <f aca="false">IF($B254="","",IFERROR(INDEX('Client Master'!$C:$C,MATCH($B254,'Client Master'!$B:$B,0)),"Code not found"))</f>
        <v/>
      </c>
      <c r="D254" s="9"/>
      <c r="E254" s="9"/>
      <c r="F254" s="9"/>
      <c r="G254" s="11"/>
      <c r="H254" s="11"/>
      <c r="I254" s="9"/>
      <c r="J254" s="12"/>
      <c r="K254" s="11"/>
      <c r="L254" s="9"/>
      <c r="N254" s="0" t="str">
        <f aca="false">IF(AND($J254&gt;0,$K254="",$A254&lt;&gt;""),SUMPRODUCT(($J$2:$J$600&gt;0)*($K$2:$K$600="")*($A$2:$A$600&lt;&gt;"")*((IF($G$2:$G$600="",99999999,$G$2:$G$600))&lt;IF($G254="",99999999,$G254)))+SUMPRODUCT(($J$2:$J254&gt;0)*($K$2:$K254="")*($A$2:$A254&lt;&gt;"")*((IF($G$2:$G254="",99999999,$G$2:$G254))=IF($G254="",99999999,$G254))),"")</f>
        <v/>
      </c>
      <c r="O254" s="0" t="str">
        <f aca="false">IF(AND($F254="Not Started",$A254&lt;&gt;""),SUMPRODUCT(($F$2:$F$600="Not Started")*($A$2:$A$600&lt;&gt;"")*((IF($G$2:$G$600="",99999999,$G$2:$G$600))&lt;IF($G254="",99999999,$G254)))+SUMPRODUCT(($F$2:$F254="Not Started")*($A$2:$A254&lt;&gt;"")*((IF($G$2:$G254="",99999999,$G$2:$G254))=IF($G254="",99999999,$G254))),"")</f>
        <v/>
      </c>
      <c r="P254" s="0" t="str">
        <f aca="false">IF(AND(OR($F254="In Progress",$F254="Pending Client Data",$F254="Under Review"),$A254&lt;&gt;""),SUMPRODUCT((($F$2:$F$600="In Progress")+($F$2:$F$600="Pending Client Data")+($F$2:$F$600="Under Review"))*($A$2:$A$600&lt;&gt;"")*((IF($G$2:$G$600="",99999999,$G$2:$G$600))&lt;IF($G254="",99999999,$G254)))+SUMPRODUCT((($F$2:$F254="In Progress")+($F$2:$F254="Pending Client Data")+($F$2:$F254="Under Review"))*($A$2:$A254&lt;&gt;"")*((IF($G$2:$G254="",99999999,$G$2:$G254))=IF($G254="",99999999,$G254))),"")</f>
        <v/>
      </c>
    </row>
    <row r="255" customFormat="false" ht="15" hidden="false" customHeight="false" outlineLevel="0" collapsed="false">
      <c r="A255" s="9"/>
      <c r="B255" s="9"/>
      <c r="C255" s="10" t="str">
        <f aca="false">IF($B255="","",IFERROR(INDEX('Client Master'!$C:$C,MATCH($B255,'Client Master'!$B:$B,0)),"Code not found"))</f>
        <v/>
      </c>
      <c r="D255" s="9"/>
      <c r="E255" s="9"/>
      <c r="F255" s="9"/>
      <c r="G255" s="11"/>
      <c r="H255" s="11"/>
      <c r="I255" s="9"/>
      <c r="J255" s="12"/>
      <c r="K255" s="11"/>
      <c r="L255" s="9"/>
      <c r="N255" s="0" t="str">
        <f aca="false">IF(AND($J255&gt;0,$K255="",$A255&lt;&gt;""),SUMPRODUCT(($J$2:$J$600&gt;0)*($K$2:$K$600="")*($A$2:$A$600&lt;&gt;"")*((IF($G$2:$G$600="",99999999,$G$2:$G$600))&lt;IF($G255="",99999999,$G255)))+SUMPRODUCT(($J$2:$J255&gt;0)*($K$2:$K255="")*($A$2:$A255&lt;&gt;"")*((IF($G$2:$G255="",99999999,$G$2:$G255))=IF($G255="",99999999,$G255))),"")</f>
        <v/>
      </c>
      <c r="O255" s="0" t="str">
        <f aca="false">IF(AND($F255="Not Started",$A255&lt;&gt;""),SUMPRODUCT(($F$2:$F$600="Not Started")*($A$2:$A$600&lt;&gt;"")*((IF($G$2:$G$600="",99999999,$G$2:$G$600))&lt;IF($G255="",99999999,$G255)))+SUMPRODUCT(($F$2:$F255="Not Started")*($A$2:$A255&lt;&gt;"")*((IF($G$2:$G255="",99999999,$G$2:$G255))=IF($G255="",99999999,$G255))),"")</f>
        <v/>
      </c>
      <c r="P255" s="0" t="str">
        <f aca="false">IF(AND(OR($F255="In Progress",$F255="Pending Client Data",$F255="Under Review"),$A255&lt;&gt;""),SUMPRODUCT((($F$2:$F$600="In Progress")+($F$2:$F$600="Pending Client Data")+($F$2:$F$600="Under Review"))*($A$2:$A$600&lt;&gt;"")*((IF($G$2:$G$600="",99999999,$G$2:$G$600))&lt;IF($G255="",99999999,$G255)))+SUMPRODUCT((($F$2:$F255="In Progress")+($F$2:$F255="Pending Client Data")+($F$2:$F255="Under Review"))*($A$2:$A255&lt;&gt;"")*((IF($G$2:$G255="",99999999,$G$2:$G255))=IF($G255="",99999999,$G255))),"")</f>
        <v/>
      </c>
    </row>
    <row r="256" customFormat="false" ht="15" hidden="false" customHeight="false" outlineLevel="0" collapsed="false">
      <c r="A256" s="9"/>
      <c r="B256" s="9"/>
      <c r="C256" s="10" t="str">
        <f aca="false">IF($B256="","",IFERROR(INDEX('Client Master'!$C:$C,MATCH($B256,'Client Master'!$B:$B,0)),"Code not found"))</f>
        <v/>
      </c>
      <c r="D256" s="9"/>
      <c r="E256" s="9"/>
      <c r="F256" s="9"/>
      <c r="G256" s="11"/>
      <c r="H256" s="11"/>
      <c r="I256" s="9"/>
      <c r="J256" s="12"/>
      <c r="K256" s="11"/>
      <c r="L256" s="9"/>
      <c r="N256" s="0" t="str">
        <f aca="false">IF(AND($J256&gt;0,$K256="",$A256&lt;&gt;""),SUMPRODUCT(($J$2:$J$600&gt;0)*($K$2:$K$600="")*($A$2:$A$600&lt;&gt;"")*((IF($G$2:$G$600="",99999999,$G$2:$G$600))&lt;IF($G256="",99999999,$G256)))+SUMPRODUCT(($J$2:$J256&gt;0)*($K$2:$K256="")*($A$2:$A256&lt;&gt;"")*((IF($G$2:$G256="",99999999,$G$2:$G256))=IF($G256="",99999999,$G256))),"")</f>
        <v/>
      </c>
      <c r="O256" s="0" t="str">
        <f aca="false">IF(AND($F256="Not Started",$A256&lt;&gt;""),SUMPRODUCT(($F$2:$F$600="Not Started")*($A$2:$A$600&lt;&gt;"")*((IF($G$2:$G$600="",99999999,$G$2:$G$600))&lt;IF($G256="",99999999,$G256)))+SUMPRODUCT(($F$2:$F256="Not Started")*($A$2:$A256&lt;&gt;"")*((IF($G$2:$G256="",99999999,$G$2:$G256))=IF($G256="",99999999,$G256))),"")</f>
        <v/>
      </c>
      <c r="P256" s="0" t="str">
        <f aca="false">IF(AND(OR($F256="In Progress",$F256="Pending Client Data",$F256="Under Review"),$A256&lt;&gt;""),SUMPRODUCT((($F$2:$F$600="In Progress")+($F$2:$F$600="Pending Client Data")+($F$2:$F$600="Under Review"))*($A$2:$A$600&lt;&gt;"")*((IF($G$2:$G$600="",99999999,$G$2:$G$600))&lt;IF($G256="",99999999,$G256)))+SUMPRODUCT((($F$2:$F256="In Progress")+($F$2:$F256="Pending Client Data")+($F$2:$F256="Under Review"))*($A$2:$A256&lt;&gt;"")*((IF($G$2:$G256="",99999999,$G$2:$G256))=IF($G256="",99999999,$G256))),"")</f>
        <v/>
      </c>
    </row>
    <row r="257" customFormat="false" ht="15" hidden="false" customHeight="false" outlineLevel="0" collapsed="false">
      <c r="A257" s="9"/>
      <c r="B257" s="9"/>
      <c r="C257" s="10" t="str">
        <f aca="false">IF($B257="","",IFERROR(INDEX('Client Master'!$C:$C,MATCH($B257,'Client Master'!$B:$B,0)),"Code not found"))</f>
        <v/>
      </c>
      <c r="D257" s="9"/>
      <c r="E257" s="9"/>
      <c r="F257" s="9"/>
      <c r="G257" s="11"/>
      <c r="H257" s="11"/>
      <c r="I257" s="9"/>
      <c r="J257" s="12"/>
      <c r="K257" s="11"/>
      <c r="L257" s="9"/>
      <c r="N257" s="0" t="str">
        <f aca="false">IF(AND($J257&gt;0,$K257="",$A257&lt;&gt;""),SUMPRODUCT(($J$2:$J$600&gt;0)*($K$2:$K$600="")*($A$2:$A$600&lt;&gt;"")*((IF($G$2:$G$600="",99999999,$G$2:$G$600))&lt;IF($G257="",99999999,$G257)))+SUMPRODUCT(($J$2:$J257&gt;0)*($K$2:$K257="")*($A$2:$A257&lt;&gt;"")*((IF($G$2:$G257="",99999999,$G$2:$G257))=IF($G257="",99999999,$G257))),"")</f>
        <v/>
      </c>
      <c r="O257" s="0" t="str">
        <f aca="false">IF(AND($F257="Not Started",$A257&lt;&gt;""),SUMPRODUCT(($F$2:$F$600="Not Started")*($A$2:$A$600&lt;&gt;"")*((IF($G$2:$G$600="",99999999,$G$2:$G$600))&lt;IF($G257="",99999999,$G257)))+SUMPRODUCT(($F$2:$F257="Not Started")*($A$2:$A257&lt;&gt;"")*((IF($G$2:$G257="",99999999,$G$2:$G257))=IF($G257="",99999999,$G257))),"")</f>
        <v/>
      </c>
      <c r="P257" s="0" t="str">
        <f aca="false">IF(AND(OR($F257="In Progress",$F257="Pending Client Data",$F257="Under Review"),$A257&lt;&gt;""),SUMPRODUCT((($F$2:$F$600="In Progress")+($F$2:$F$600="Pending Client Data")+($F$2:$F$600="Under Review"))*($A$2:$A$600&lt;&gt;"")*((IF($G$2:$G$600="",99999999,$G$2:$G$600))&lt;IF($G257="",99999999,$G257)))+SUMPRODUCT((($F$2:$F257="In Progress")+($F$2:$F257="Pending Client Data")+($F$2:$F257="Under Review"))*($A$2:$A257&lt;&gt;"")*((IF($G$2:$G257="",99999999,$G$2:$G257))=IF($G257="",99999999,$G257))),"")</f>
        <v/>
      </c>
    </row>
    <row r="258" customFormat="false" ht="15" hidden="false" customHeight="false" outlineLevel="0" collapsed="false">
      <c r="A258" s="9"/>
      <c r="B258" s="9"/>
      <c r="C258" s="10" t="str">
        <f aca="false">IF($B258="","",IFERROR(INDEX('Client Master'!$C:$C,MATCH($B258,'Client Master'!$B:$B,0)),"Code not found"))</f>
        <v/>
      </c>
      <c r="D258" s="9"/>
      <c r="E258" s="9"/>
      <c r="F258" s="9"/>
      <c r="G258" s="11"/>
      <c r="H258" s="11"/>
      <c r="I258" s="9"/>
      <c r="J258" s="12"/>
      <c r="K258" s="11"/>
      <c r="L258" s="9"/>
      <c r="N258" s="0" t="str">
        <f aca="false">IF(AND($J258&gt;0,$K258="",$A258&lt;&gt;""),SUMPRODUCT(($J$2:$J$600&gt;0)*($K$2:$K$600="")*($A$2:$A$600&lt;&gt;"")*((IF($G$2:$G$600="",99999999,$G$2:$G$600))&lt;IF($G258="",99999999,$G258)))+SUMPRODUCT(($J$2:$J258&gt;0)*($K$2:$K258="")*($A$2:$A258&lt;&gt;"")*((IF($G$2:$G258="",99999999,$G$2:$G258))=IF($G258="",99999999,$G258))),"")</f>
        <v/>
      </c>
      <c r="O258" s="0" t="str">
        <f aca="false">IF(AND($F258="Not Started",$A258&lt;&gt;""),SUMPRODUCT(($F$2:$F$600="Not Started")*($A$2:$A$600&lt;&gt;"")*((IF($G$2:$G$600="",99999999,$G$2:$G$600))&lt;IF($G258="",99999999,$G258)))+SUMPRODUCT(($F$2:$F258="Not Started")*($A$2:$A258&lt;&gt;"")*((IF($G$2:$G258="",99999999,$G$2:$G258))=IF($G258="",99999999,$G258))),"")</f>
        <v/>
      </c>
      <c r="P258" s="0" t="str">
        <f aca="false">IF(AND(OR($F258="In Progress",$F258="Pending Client Data",$F258="Under Review"),$A258&lt;&gt;""),SUMPRODUCT((($F$2:$F$600="In Progress")+($F$2:$F$600="Pending Client Data")+($F$2:$F$600="Under Review"))*($A$2:$A$600&lt;&gt;"")*((IF($G$2:$G$600="",99999999,$G$2:$G$600))&lt;IF($G258="",99999999,$G258)))+SUMPRODUCT((($F$2:$F258="In Progress")+($F$2:$F258="Pending Client Data")+($F$2:$F258="Under Review"))*($A$2:$A258&lt;&gt;"")*((IF($G$2:$G258="",99999999,$G$2:$G258))=IF($G258="",99999999,$G258))),"")</f>
        <v/>
      </c>
    </row>
    <row r="259" customFormat="false" ht="15" hidden="false" customHeight="false" outlineLevel="0" collapsed="false">
      <c r="A259" s="9"/>
      <c r="B259" s="9"/>
      <c r="C259" s="10" t="str">
        <f aca="false">IF($B259="","",IFERROR(INDEX('Client Master'!$C:$C,MATCH($B259,'Client Master'!$B:$B,0)),"Code not found"))</f>
        <v/>
      </c>
      <c r="D259" s="9"/>
      <c r="E259" s="9"/>
      <c r="F259" s="9"/>
      <c r="G259" s="11"/>
      <c r="H259" s="11"/>
      <c r="I259" s="9"/>
      <c r="J259" s="12"/>
      <c r="K259" s="11"/>
      <c r="L259" s="9"/>
      <c r="N259" s="0" t="str">
        <f aca="false">IF(AND($J259&gt;0,$K259="",$A259&lt;&gt;""),SUMPRODUCT(($J$2:$J$600&gt;0)*($K$2:$K$600="")*($A$2:$A$600&lt;&gt;"")*((IF($G$2:$G$600="",99999999,$G$2:$G$600))&lt;IF($G259="",99999999,$G259)))+SUMPRODUCT(($J$2:$J259&gt;0)*($K$2:$K259="")*($A$2:$A259&lt;&gt;"")*((IF($G$2:$G259="",99999999,$G$2:$G259))=IF($G259="",99999999,$G259))),"")</f>
        <v/>
      </c>
      <c r="O259" s="0" t="str">
        <f aca="false">IF(AND($F259="Not Started",$A259&lt;&gt;""),SUMPRODUCT(($F$2:$F$600="Not Started")*($A$2:$A$600&lt;&gt;"")*((IF($G$2:$G$600="",99999999,$G$2:$G$600))&lt;IF($G259="",99999999,$G259)))+SUMPRODUCT(($F$2:$F259="Not Started")*($A$2:$A259&lt;&gt;"")*((IF($G$2:$G259="",99999999,$G$2:$G259))=IF($G259="",99999999,$G259))),"")</f>
        <v/>
      </c>
      <c r="P259" s="0" t="str">
        <f aca="false">IF(AND(OR($F259="In Progress",$F259="Pending Client Data",$F259="Under Review"),$A259&lt;&gt;""),SUMPRODUCT((($F$2:$F$600="In Progress")+($F$2:$F$600="Pending Client Data")+($F$2:$F$600="Under Review"))*($A$2:$A$600&lt;&gt;"")*((IF($G$2:$G$600="",99999999,$G$2:$G$600))&lt;IF($G259="",99999999,$G259)))+SUMPRODUCT((($F$2:$F259="In Progress")+($F$2:$F259="Pending Client Data")+($F$2:$F259="Under Review"))*($A$2:$A259&lt;&gt;"")*((IF($G$2:$G259="",99999999,$G$2:$G259))=IF($G259="",99999999,$G259))),"")</f>
        <v/>
      </c>
    </row>
    <row r="260" customFormat="false" ht="15" hidden="false" customHeight="false" outlineLevel="0" collapsed="false">
      <c r="A260" s="9"/>
      <c r="B260" s="9"/>
      <c r="C260" s="10" t="str">
        <f aca="false">IF($B260="","",IFERROR(INDEX('Client Master'!$C:$C,MATCH($B260,'Client Master'!$B:$B,0)),"Code not found"))</f>
        <v/>
      </c>
      <c r="D260" s="9"/>
      <c r="E260" s="9"/>
      <c r="F260" s="9"/>
      <c r="G260" s="11"/>
      <c r="H260" s="11"/>
      <c r="I260" s="9"/>
      <c r="J260" s="12"/>
      <c r="K260" s="11"/>
      <c r="L260" s="9"/>
      <c r="N260" s="0" t="str">
        <f aca="false">IF(AND($J260&gt;0,$K260="",$A260&lt;&gt;""),SUMPRODUCT(($J$2:$J$600&gt;0)*($K$2:$K$600="")*($A$2:$A$600&lt;&gt;"")*((IF($G$2:$G$600="",99999999,$G$2:$G$600))&lt;IF($G260="",99999999,$G260)))+SUMPRODUCT(($J$2:$J260&gt;0)*($K$2:$K260="")*($A$2:$A260&lt;&gt;"")*((IF($G$2:$G260="",99999999,$G$2:$G260))=IF($G260="",99999999,$G260))),"")</f>
        <v/>
      </c>
      <c r="O260" s="0" t="str">
        <f aca="false">IF(AND($F260="Not Started",$A260&lt;&gt;""),SUMPRODUCT(($F$2:$F$600="Not Started")*($A$2:$A$600&lt;&gt;"")*((IF($G$2:$G$600="",99999999,$G$2:$G$600))&lt;IF($G260="",99999999,$G260)))+SUMPRODUCT(($F$2:$F260="Not Started")*($A$2:$A260&lt;&gt;"")*((IF($G$2:$G260="",99999999,$G$2:$G260))=IF($G260="",99999999,$G260))),"")</f>
        <v/>
      </c>
      <c r="P260" s="0" t="str">
        <f aca="false">IF(AND(OR($F260="In Progress",$F260="Pending Client Data",$F260="Under Review"),$A260&lt;&gt;""),SUMPRODUCT((($F$2:$F$600="In Progress")+($F$2:$F$600="Pending Client Data")+($F$2:$F$600="Under Review"))*($A$2:$A$600&lt;&gt;"")*((IF($G$2:$G$600="",99999999,$G$2:$G$600))&lt;IF($G260="",99999999,$G260)))+SUMPRODUCT((($F$2:$F260="In Progress")+($F$2:$F260="Pending Client Data")+($F$2:$F260="Under Review"))*($A$2:$A260&lt;&gt;"")*((IF($G$2:$G260="",99999999,$G$2:$G260))=IF($G260="",99999999,$G260))),"")</f>
        <v/>
      </c>
    </row>
    <row r="261" customFormat="false" ht="15" hidden="false" customHeight="false" outlineLevel="0" collapsed="false">
      <c r="A261" s="9"/>
      <c r="B261" s="9"/>
      <c r="C261" s="10" t="str">
        <f aca="false">IF($B261="","",IFERROR(INDEX('Client Master'!$C:$C,MATCH($B261,'Client Master'!$B:$B,0)),"Code not found"))</f>
        <v/>
      </c>
      <c r="D261" s="9"/>
      <c r="E261" s="9"/>
      <c r="F261" s="9"/>
      <c r="G261" s="11"/>
      <c r="H261" s="11"/>
      <c r="I261" s="9"/>
      <c r="J261" s="12"/>
      <c r="K261" s="11"/>
      <c r="L261" s="9"/>
      <c r="N261" s="0" t="str">
        <f aca="false">IF(AND($J261&gt;0,$K261="",$A261&lt;&gt;""),SUMPRODUCT(($J$2:$J$600&gt;0)*($K$2:$K$600="")*($A$2:$A$600&lt;&gt;"")*((IF($G$2:$G$600="",99999999,$G$2:$G$600))&lt;IF($G261="",99999999,$G261)))+SUMPRODUCT(($J$2:$J261&gt;0)*($K$2:$K261="")*($A$2:$A261&lt;&gt;"")*((IF($G$2:$G261="",99999999,$G$2:$G261))=IF($G261="",99999999,$G261))),"")</f>
        <v/>
      </c>
      <c r="O261" s="0" t="str">
        <f aca="false">IF(AND($F261="Not Started",$A261&lt;&gt;""),SUMPRODUCT(($F$2:$F$600="Not Started")*($A$2:$A$600&lt;&gt;"")*((IF($G$2:$G$600="",99999999,$G$2:$G$600))&lt;IF($G261="",99999999,$G261)))+SUMPRODUCT(($F$2:$F261="Not Started")*($A$2:$A261&lt;&gt;"")*((IF($G$2:$G261="",99999999,$G$2:$G261))=IF($G261="",99999999,$G261))),"")</f>
        <v/>
      </c>
      <c r="P261" s="0" t="str">
        <f aca="false">IF(AND(OR($F261="In Progress",$F261="Pending Client Data",$F261="Under Review"),$A261&lt;&gt;""),SUMPRODUCT((($F$2:$F$600="In Progress")+($F$2:$F$600="Pending Client Data")+($F$2:$F$600="Under Review"))*($A$2:$A$600&lt;&gt;"")*((IF($G$2:$G$600="",99999999,$G$2:$G$600))&lt;IF($G261="",99999999,$G261)))+SUMPRODUCT((($F$2:$F261="In Progress")+($F$2:$F261="Pending Client Data")+($F$2:$F261="Under Review"))*($A$2:$A261&lt;&gt;"")*((IF($G$2:$G261="",99999999,$G$2:$G261))=IF($G261="",99999999,$G261))),"")</f>
        <v/>
      </c>
    </row>
    <row r="262" customFormat="false" ht="15" hidden="false" customHeight="false" outlineLevel="0" collapsed="false">
      <c r="A262" s="9"/>
      <c r="B262" s="9"/>
      <c r="C262" s="10" t="str">
        <f aca="false">IF($B262="","",IFERROR(INDEX('Client Master'!$C:$C,MATCH($B262,'Client Master'!$B:$B,0)),"Code not found"))</f>
        <v/>
      </c>
      <c r="D262" s="9"/>
      <c r="E262" s="9"/>
      <c r="F262" s="9"/>
      <c r="G262" s="11"/>
      <c r="H262" s="11"/>
      <c r="I262" s="9"/>
      <c r="J262" s="12"/>
      <c r="K262" s="11"/>
      <c r="L262" s="9"/>
      <c r="N262" s="0" t="str">
        <f aca="false">IF(AND($J262&gt;0,$K262="",$A262&lt;&gt;""),SUMPRODUCT(($J$2:$J$600&gt;0)*($K$2:$K$600="")*($A$2:$A$600&lt;&gt;"")*((IF($G$2:$G$600="",99999999,$G$2:$G$600))&lt;IF($G262="",99999999,$G262)))+SUMPRODUCT(($J$2:$J262&gt;0)*($K$2:$K262="")*($A$2:$A262&lt;&gt;"")*((IF($G$2:$G262="",99999999,$G$2:$G262))=IF($G262="",99999999,$G262))),"")</f>
        <v/>
      </c>
      <c r="O262" s="0" t="str">
        <f aca="false">IF(AND($F262="Not Started",$A262&lt;&gt;""),SUMPRODUCT(($F$2:$F$600="Not Started")*($A$2:$A$600&lt;&gt;"")*((IF($G$2:$G$600="",99999999,$G$2:$G$600))&lt;IF($G262="",99999999,$G262)))+SUMPRODUCT(($F$2:$F262="Not Started")*($A$2:$A262&lt;&gt;"")*((IF($G$2:$G262="",99999999,$G$2:$G262))=IF($G262="",99999999,$G262))),"")</f>
        <v/>
      </c>
      <c r="P262" s="0" t="str">
        <f aca="false">IF(AND(OR($F262="In Progress",$F262="Pending Client Data",$F262="Under Review"),$A262&lt;&gt;""),SUMPRODUCT((($F$2:$F$600="In Progress")+($F$2:$F$600="Pending Client Data")+($F$2:$F$600="Under Review"))*($A$2:$A$600&lt;&gt;"")*((IF($G$2:$G$600="",99999999,$G$2:$G$600))&lt;IF($G262="",99999999,$G262)))+SUMPRODUCT((($F$2:$F262="In Progress")+($F$2:$F262="Pending Client Data")+($F$2:$F262="Under Review"))*($A$2:$A262&lt;&gt;"")*((IF($G$2:$G262="",99999999,$G$2:$G262))=IF($G262="",99999999,$G262))),"")</f>
        <v/>
      </c>
    </row>
    <row r="263" customFormat="false" ht="15" hidden="false" customHeight="false" outlineLevel="0" collapsed="false">
      <c r="A263" s="9"/>
      <c r="B263" s="9"/>
      <c r="C263" s="10" t="str">
        <f aca="false">IF($B263="","",IFERROR(INDEX('Client Master'!$C:$C,MATCH($B263,'Client Master'!$B:$B,0)),"Code not found"))</f>
        <v/>
      </c>
      <c r="D263" s="9"/>
      <c r="E263" s="9"/>
      <c r="F263" s="9"/>
      <c r="G263" s="11"/>
      <c r="H263" s="11"/>
      <c r="I263" s="9"/>
      <c r="J263" s="12"/>
      <c r="K263" s="11"/>
      <c r="L263" s="9"/>
      <c r="N263" s="0" t="str">
        <f aca="false">IF(AND($J263&gt;0,$K263="",$A263&lt;&gt;""),SUMPRODUCT(($J$2:$J$600&gt;0)*($K$2:$K$600="")*($A$2:$A$600&lt;&gt;"")*((IF($G$2:$G$600="",99999999,$G$2:$G$600))&lt;IF($G263="",99999999,$G263)))+SUMPRODUCT(($J$2:$J263&gt;0)*($K$2:$K263="")*($A$2:$A263&lt;&gt;"")*((IF($G$2:$G263="",99999999,$G$2:$G263))=IF($G263="",99999999,$G263))),"")</f>
        <v/>
      </c>
      <c r="O263" s="0" t="str">
        <f aca="false">IF(AND($F263="Not Started",$A263&lt;&gt;""),SUMPRODUCT(($F$2:$F$600="Not Started")*($A$2:$A$600&lt;&gt;"")*((IF($G$2:$G$600="",99999999,$G$2:$G$600))&lt;IF($G263="",99999999,$G263)))+SUMPRODUCT(($F$2:$F263="Not Started")*($A$2:$A263&lt;&gt;"")*((IF($G$2:$G263="",99999999,$G$2:$G263))=IF($G263="",99999999,$G263))),"")</f>
        <v/>
      </c>
      <c r="P263" s="0" t="str">
        <f aca="false">IF(AND(OR($F263="In Progress",$F263="Pending Client Data",$F263="Under Review"),$A263&lt;&gt;""),SUMPRODUCT((($F$2:$F$600="In Progress")+($F$2:$F$600="Pending Client Data")+($F$2:$F$600="Under Review"))*($A$2:$A$600&lt;&gt;"")*((IF($G$2:$G$600="",99999999,$G$2:$G$600))&lt;IF($G263="",99999999,$G263)))+SUMPRODUCT((($F$2:$F263="In Progress")+($F$2:$F263="Pending Client Data")+($F$2:$F263="Under Review"))*($A$2:$A263&lt;&gt;"")*((IF($G$2:$G263="",99999999,$G$2:$G263))=IF($G263="",99999999,$G263))),"")</f>
        <v/>
      </c>
    </row>
    <row r="264" customFormat="false" ht="15" hidden="false" customHeight="false" outlineLevel="0" collapsed="false">
      <c r="A264" s="9"/>
      <c r="B264" s="9"/>
      <c r="C264" s="10" t="str">
        <f aca="false">IF($B264="","",IFERROR(INDEX('Client Master'!$C:$C,MATCH($B264,'Client Master'!$B:$B,0)),"Code not found"))</f>
        <v/>
      </c>
      <c r="D264" s="9"/>
      <c r="E264" s="9"/>
      <c r="F264" s="9"/>
      <c r="G264" s="11"/>
      <c r="H264" s="11"/>
      <c r="I264" s="9"/>
      <c r="J264" s="12"/>
      <c r="K264" s="11"/>
      <c r="L264" s="9"/>
      <c r="N264" s="0" t="str">
        <f aca="false">IF(AND($J264&gt;0,$K264="",$A264&lt;&gt;""),SUMPRODUCT(($J$2:$J$600&gt;0)*($K$2:$K$600="")*($A$2:$A$600&lt;&gt;"")*((IF($G$2:$G$600="",99999999,$G$2:$G$600))&lt;IF($G264="",99999999,$G264)))+SUMPRODUCT(($J$2:$J264&gt;0)*($K$2:$K264="")*($A$2:$A264&lt;&gt;"")*((IF($G$2:$G264="",99999999,$G$2:$G264))=IF($G264="",99999999,$G264))),"")</f>
        <v/>
      </c>
      <c r="O264" s="0" t="str">
        <f aca="false">IF(AND($F264="Not Started",$A264&lt;&gt;""),SUMPRODUCT(($F$2:$F$600="Not Started")*($A$2:$A$600&lt;&gt;"")*((IF($G$2:$G$600="",99999999,$G$2:$G$600))&lt;IF($G264="",99999999,$G264)))+SUMPRODUCT(($F$2:$F264="Not Started")*($A$2:$A264&lt;&gt;"")*((IF($G$2:$G264="",99999999,$G$2:$G264))=IF($G264="",99999999,$G264))),"")</f>
        <v/>
      </c>
      <c r="P264" s="0" t="str">
        <f aca="false">IF(AND(OR($F264="In Progress",$F264="Pending Client Data",$F264="Under Review"),$A264&lt;&gt;""),SUMPRODUCT((($F$2:$F$600="In Progress")+($F$2:$F$600="Pending Client Data")+($F$2:$F$600="Under Review"))*($A$2:$A$600&lt;&gt;"")*((IF($G$2:$G$600="",99999999,$G$2:$G$600))&lt;IF($G264="",99999999,$G264)))+SUMPRODUCT((($F$2:$F264="In Progress")+($F$2:$F264="Pending Client Data")+($F$2:$F264="Under Review"))*($A$2:$A264&lt;&gt;"")*((IF($G$2:$G264="",99999999,$G$2:$G264))=IF($G264="",99999999,$G264))),"")</f>
        <v/>
      </c>
    </row>
    <row r="265" customFormat="false" ht="15" hidden="false" customHeight="false" outlineLevel="0" collapsed="false">
      <c r="A265" s="9"/>
      <c r="B265" s="9"/>
      <c r="C265" s="10" t="str">
        <f aca="false">IF($B265="","",IFERROR(INDEX('Client Master'!$C:$C,MATCH($B265,'Client Master'!$B:$B,0)),"Code not found"))</f>
        <v/>
      </c>
      <c r="D265" s="9"/>
      <c r="E265" s="9"/>
      <c r="F265" s="9"/>
      <c r="G265" s="11"/>
      <c r="H265" s="11"/>
      <c r="I265" s="9"/>
      <c r="J265" s="12"/>
      <c r="K265" s="11"/>
      <c r="L265" s="9"/>
      <c r="N265" s="0" t="str">
        <f aca="false">IF(AND($J265&gt;0,$K265="",$A265&lt;&gt;""),SUMPRODUCT(($J$2:$J$600&gt;0)*($K$2:$K$600="")*($A$2:$A$600&lt;&gt;"")*((IF($G$2:$G$600="",99999999,$G$2:$G$600))&lt;IF($G265="",99999999,$G265)))+SUMPRODUCT(($J$2:$J265&gt;0)*($K$2:$K265="")*($A$2:$A265&lt;&gt;"")*((IF($G$2:$G265="",99999999,$G$2:$G265))=IF($G265="",99999999,$G265))),"")</f>
        <v/>
      </c>
      <c r="O265" s="0" t="str">
        <f aca="false">IF(AND($F265="Not Started",$A265&lt;&gt;""),SUMPRODUCT(($F$2:$F$600="Not Started")*($A$2:$A$600&lt;&gt;"")*((IF($G$2:$G$600="",99999999,$G$2:$G$600))&lt;IF($G265="",99999999,$G265)))+SUMPRODUCT(($F$2:$F265="Not Started")*($A$2:$A265&lt;&gt;"")*((IF($G$2:$G265="",99999999,$G$2:$G265))=IF($G265="",99999999,$G265))),"")</f>
        <v/>
      </c>
      <c r="P265" s="0" t="str">
        <f aca="false">IF(AND(OR($F265="In Progress",$F265="Pending Client Data",$F265="Under Review"),$A265&lt;&gt;""),SUMPRODUCT((($F$2:$F$600="In Progress")+($F$2:$F$600="Pending Client Data")+($F$2:$F$600="Under Review"))*($A$2:$A$600&lt;&gt;"")*((IF($G$2:$G$600="",99999999,$G$2:$G$600))&lt;IF($G265="",99999999,$G265)))+SUMPRODUCT((($F$2:$F265="In Progress")+($F$2:$F265="Pending Client Data")+($F$2:$F265="Under Review"))*($A$2:$A265&lt;&gt;"")*((IF($G$2:$G265="",99999999,$G$2:$G265))=IF($G265="",99999999,$G265))),"")</f>
        <v/>
      </c>
    </row>
    <row r="266" customFormat="false" ht="15" hidden="false" customHeight="false" outlineLevel="0" collapsed="false">
      <c r="A266" s="9"/>
      <c r="B266" s="9"/>
      <c r="C266" s="10" t="str">
        <f aca="false">IF($B266="","",IFERROR(INDEX('Client Master'!$C:$C,MATCH($B266,'Client Master'!$B:$B,0)),"Code not found"))</f>
        <v/>
      </c>
      <c r="D266" s="9"/>
      <c r="E266" s="9"/>
      <c r="F266" s="9"/>
      <c r="G266" s="11"/>
      <c r="H266" s="11"/>
      <c r="I266" s="9"/>
      <c r="J266" s="12"/>
      <c r="K266" s="11"/>
      <c r="L266" s="9"/>
      <c r="N266" s="0" t="str">
        <f aca="false">IF(AND($J266&gt;0,$K266="",$A266&lt;&gt;""),SUMPRODUCT(($J$2:$J$600&gt;0)*($K$2:$K$600="")*($A$2:$A$600&lt;&gt;"")*((IF($G$2:$G$600="",99999999,$G$2:$G$600))&lt;IF($G266="",99999999,$G266)))+SUMPRODUCT(($J$2:$J266&gt;0)*($K$2:$K266="")*($A$2:$A266&lt;&gt;"")*((IF($G$2:$G266="",99999999,$G$2:$G266))=IF($G266="",99999999,$G266))),"")</f>
        <v/>
      </c>
      <c r="O266" s="0" t="str">
        <f aca="false">IF(AND($F266="Not Started",$A266&lt;&gt;""),SUMPRODUCT(($F$2:$F$600="Not Started")*($A$2:$A$600&lt;&gt;"")*((IF($G$2:$G$600="",99999999,$G$2:$G$600))&lt;IF($G266="",99999999,$G266)))+SUMPRODUCT(($F$2:$F266="Not Started")*($A$2:$A266&lt;&gt;"")*((IF($G$2:$G266="",99999999,$G$2:$G266))=IF($G266="",99999999,$G266))),"")</f>
        <v/>
      </c>
      <c r="P266" s="0" t="str">
        <f aca="false">IF(AND(OR($F266="In Progress",$F266="Pending Client Data",$F266="Under Review"),$A266&lt;&gt;""),SUMPRODUCT((($F$2:$F$600="In Progress")+($F$2:$F$600="Pending Client Data")+($F$2:$F$600="Under Review"))*($A$2:$A$600&lt;&gt;"")*((IF($G$2:$G$600="",99999999,$G$2:$G$600))&lt;IF($G266="",99999999,$G266)))+SUMPRODUCT((($F$2:$F266="In Progress")+($F$2:$F266="Pending Client Data")+($F$2:$F266="Under Review"))*($A$2:$A266&lt;&gt;"")*((IF($G$2:$G266="",99999999,$G$2:$G266))=IF($G266="",99999999,$G266))),"")</f>
        <v/>
      </c>
    </row>
    <row r="267" customFormat="false" ht="15" hidden="false" customHeight="false" outlineLevel="0" collapsed="false">
      <c r="A267" s="9"/>
      <c r="B267" s="9"/>
      <c r="C267" s="10" t="str">
        <f aca="false">IF($B267="","",IFERROR(INDEX('Client Master'!$C:$C,MATCH($B267,'Client Master'!$B:$B,0)),"Code not found"))</f>
        <v/>
      </c>
      <c r="D267" s="9"/>
      <c r="E267" s="9"/>
      <c r="F267" s="9"/>
      <c r="G267" s="11"/>
      <c r="H267" s="11"/>
      <c r="I267" s="9"/>
      <c r="J267" s="12"/>
      <c r="K267" s="11"/>
      <c r="L267" s="9"/>
      <c r="N267" s="0" t="str">
        <f aca="false">IF(AND($J267&gt;0,$K267="",$A267&lt;&gt;""),SUMPRODUCT(($J$2:$J$600&gt;0)*($K$2:$K$600="")*($A$2:$A$600&lt;&gt;"")*((IF($G$2:$G$600="",99999999,$G$2:$G$600))&lt;IF($G267="",99999999,$G267)))+SUMPRODUCT(($J$2:$J267&gt;0)*($K$2:$K267="")*($A$2:$A267&lt;&gt;"")*((IF($G$2:$G267="",99999999,$G$2:$G267))=IF($G267="",99999999,$G267))),"")</f>
        <v/>
      </c>
      <c r="O267" s="0" t="str">
        <f aca="false">IF(AND($F267="Not Started",$A267&lt;&gt;""),SUMPRODUCT(($F$2:$F$600="Not Started")*($A$2:$A$600&lt;&gt;"")*((IF($G$2:$G$600="",99999999,$G$2:$G$600))&lt;IF($G267="",99999999,$G267)))+SUMPRODUCT(($F$2:$F267="Not Started")*($A$2:$A267&lt;&gt;"")*((IF($G$2:$G267="",99999999,$G$2:$G267))=IF($G267="",99999999,$G267))),"")</f>
        <v/>
      </c>
      <c r="P267" s="0" t="str">
        <f aca="false">IF(AND(OR($F267="In Progress",$F267="Pending Client Data",$F267="Under Review"),$A267&lt;&gt;""),SUMPRODUCT((($F$2:$F$600="In Progress")+($F$2:$F$600="Pending Client Data")+($F$2:$F$600="Under Review"))*($A$2:$A$600&lt;&gt;"")*((IF($G$2:$G$600="",99999999,$G$2:$G$600))&lt;IF($G267="",99999999,$G267)))+SUMPRODUCT((($F$2:$F267="In Progress")+($F$2:$F267="Pending Client Data")+($F$2:$F267="Under Review"))*($A$2:$A267&lt;&gt;"")*((IF($G$2:$G267="",99999999,$G$2:$G267))=IF($G267="",99999999,$G267))),"")</f>
        <v/>
      </c>
    </row>
    <row r="268" customFormat="false" ht="15" hidden="false" customHeight="false" outlineLevel="0" collapsed="false">
      <c r="A268" s="9"/>
      <c r="B268" s="9"/>
      <c r="C268" s="10" t="str">
        <f aca="false">IF($B268="","",IFERROR(INDEX('Client Master'!$C:$C,MATCH($B268,'Client Master'!$B:$B,0)),"Code not found"))</f>
        <v/>
      </c>
      <c r="D268" s="9"/>
      <c r="E268" s="9"/>
      <c r="F268" s="9"/>
      <c r="G268" s="11"/>
      <c r="H268" s="11"/>
      <c r="I268" s="9"/>
      <c r="J268" s="12"/>
      <c r="K268" s="11"/>
      <c r="L268" s="9"/>
      <c r="N268" s="0" t="str">
        <f aca="false">IF(AND($J268&gt;0,$K268="",$A268&lt;&gt;""),SUMPRODUCT(($J$2:$J$600&gt;0)*($K$2:$K$600="")*($A$2:$A$600&lt;&gt;"")*((IF($G$2:$G$600="",99999999,$G$2:$G$600))&lt;IF($G268="",99999999,$G268)))+SUMPRODUCT(($J$2:$J268&gt;0)*($K$2:$K268="")*($A$2:$A268&lt;&gt;"")*((IF($G$2:$G268="",99999999,$G$2:$G268))=IF($G268="",99999999,$G268))),"")</f>
        <v/>
      </c>
      <c r="O268" s="0" t="str">
        <f aca="false">IF(AND($F268="Not Started",$A268&lt;&gt;""),SUMPRODUCT(($F$2:$F$600="Not Started")*($A$2:$A$600&lt;&gt;"")*((IF($G$2:$G$600="",99999999,$G$2:$G$600))&lt;IF($G268="",99999999,$G268)))+SUMPRODUCT(($F$2:$F268="Not Started")*($A$2:$A268&lt;&gt;"")*((IF($G$2:$G268="",99999999,$G$2:$G268))=IF($G268="",99999999,$G268))),"")</f>
        <v/>
      </c>
      <c r="P268" s="0" t="str">
        <f aca="false">IF(AND(OR($F268="In Progress",$F268="Pending Client Data",$F268="Under Review"),$A268&lt;&gt;""),SUMPRODUCT((($F$2:$F$600="In Progress")+($F$2:$F$600="Pending Client Data")+($F$2:$F$600="Under Review"))*($A$2:$A$600&lt;&gt;"")*((IF($G$2:$G$600="",99999999,$G$2:$G$600))&lt;IF($G268="",99999999,$G268)))+SUMPRODUCT((($F$2:$F268="In Progress")+($F$2:$F268="Pending Client Data")+($F$2:$F268="Under Review"))*($A$2:$A268&lt;&gt;"")*((IF($G$2:$G268="",99999999,$G$2:$G268))=IF($G268="",99999999,$G268))),"")</f>
        <v/>
      </c>
    </row>
    <row r="269" customFormat="false" ht="15" hidden="false" customHeight="false" outlineLevel="0" collapsed="false">
      <c r="A269" s="9"/>
      <c r="B269" s="9"/>
      <c r="C269" s="10" t="str">
        <f aca="false">IF($B269="","",IFERROR(INDEX('Client Master'!$C:$C,MATCH($B269,'Client Master'!$B:$B,0)),"Code not found"))</f>
        <v/>
      </c>
      <c r="D269" s="9"/>
      <c r="E269" s="9"/>
      <c r="F269" s="9"/>
      <c r="G269" s="11"/>
      <c r="H269" s="11"/>
      <c r="I269" s="9"/>
      <c r="J269" s="12"/>
      <c r="K269" s="11"/>
      <c r="L269" s="9"/>
      <c r="N269" s="0" t="str">
        <f aca="false">IF(AND($J269&gt;0,$K269="",$A269&lt;&gt;""),SUMPRODUCT(($J$2:$J$600&gt;0)*($K$2:$K$600="")*($A$2:$A$600&lt;&gt;"")*((IF($G$2:$G$600="",99999999,$G$2:$G$600))&lt;IF($G269="",99999999,$G269)))+SUMPRODUCT(($J$2:$J269&gt;0)*($K$2:$K269="")*($A$2:$A269&lt;&gt;"")*((IF($G$2:$G269="",99999999,$G$2:$G269))=IF($G269="",99999999,$G269))),"")</f>
        <v/>
      </c>
      <c r="O269" s="0" t="str">
        <f aca="false">IF(AND($F269="Not Started",$A269&lt;&gt;""),SUMPRODUCT(($F$2:$F$600="Not Started")*($A$2:$A$600&lt;&gt;"")*((IF($G$2:$G$600="",99999999,$G$2:$G$600))&lt;IF($G269="",99999999,$G269)))+SUMPRODUCT(($F$2:$F269="Not Started")*($A$2:$A269&lt;&gt;"")*((IF($G$2:$G269="",99999999,$G$2:$G269))=IF($G269="",99999999,$G269))),"")</f>
        <v/>
      </c>
      <c r="P269" s="0" t="str">
        <f aca="false">IF(AND(OR($F269="In Progress",$F269="Pending Client Data",$F269="Under Review"),$A269&lt;&gt;""),SUMPRODUCT((($F$2:$F$600="In Progress")+($F$2:$F$600="Pending Client Data")+($F$2:$F$600="Under Review"))*($A$2:$A$600&lt;&gt;"")*((IF($G$2:$G$600="",99999999,$G$2:$G$600))&lt;IF($G269="",99999999,$G269)))+SUMPRODUCT((($F$2:$F269="In Progress")+($F$2:$F269="Pending Client Data")+($F$2:$F269="Under Review"))*($A$2:$A269&lt;&gt;"")*((IF($G$2:$G269="",99999999,$G$2:$G269))=IF($G269="",99999999,$G269))),"")</f>
        <v/>
      </c>
    </row>
    <row r="270" customFormat="false" ht="15" hidden="false" customHeight="false" outlineLevel="0" collapsed="false">
      <c r="A270" s="9"/>
      <c r="B270" s="9"/>
      <c r="C270" s="10" t="str">
        <f aca="false">IF($B270="","",IFERROR(INDEX('Client Master'!$C:$C,MATCH($B270,'Client Master'!$B:$B,0)),"Code not found"))</f>
        <v/>
      </c>
      <c r="D270" s="9"/>
      <c r="E270" s="9"/>
      <c r="F270" s="9"/>
      <c r="G270" s="11"/>
      <c r="H270" s="11"/>
      <c r="I270" s="9"/>
      <c r="J270" s="12"/>
      <c r="K270" s="11"/>
      <c r="L270" s="9"/>
      <c r="N270" s="0" t="str">
        <f aca="false">IF(AND($J270&gt;0,$K270="",$A270&lt;&gt;""),SUMPRODUCT(($J$2:$J$600&gt;0)*($K$2:$K$600="")*($A$2:$A$600&lt;&gt;"")*((IF($G$2:$G$600="",99999999,$G$2:$G$600))&lt;IF($G270="",99999999,$G270)))+SUMPRODUCT(($J$2:$J270&gt;0)*($K$2:$K270="")*($A$2:$A270&lt;&gt;"")*((IF($G$2:$G270="",99999999,$G$2:$G270))=IF($G270="",99999999,$G270))),"")</f>
        <v/>
      </c>
      <c r="O270" s="0" t="str">
        <f aca="false">IF(AND($F270="Not Started",$A270&lt;&gt;""),SUMPRODUCT(($F$2:$F$600="Not Started")*($A$2:$A$600&lt;&gt;"")*((IF($G$2:$G$600="",99999999,$G$2:$G$600))&lt;IF($G270="",99999999,$G270)))+SUMPRODUCT(($F$2:$F270="Not Started")*($A$2:$A270&lt;&gt;"")*((IF($G$2:$G270="",99999999,$G$2:$G270))=IF($G270="",99999999,$G270))),"")</f>
        <v/>
      </c>
      <c r="P270" s="0" t="str">
        <f aca="false">IF(AND(OR($F270="In Progress",$F270="Pending Client Data",$F270="Under Review"),$A270&lt;&gt;""),SUMPRODUCT((($F$2:$F$600="In Progress")+($F$2:$F$600="Pending Client Data")+($F$2:$F$600="Under Review"))*($A$2:$A$600&lt;&gt;"")*((IF($G$2:$G$600="",99999999,$G$2:$G$600))&lt;IF($G270="",99999999,$G270)))+SUMPRODUCT((($F$2:$F270="In Progress")+($F$2:$F270="Pending Client Data")+($F$2:$F270="Under Review"))*($A$2:$A270&lt;&gt;"")*((IF($G$2:$G270="",99999999,$G$2:$G270))=IF($G270="",99999999,$G270))),"")</f>
        <v/>
      </c>
    </row>
    <row r="271" customFormat="false" ht="15" hidden="false" customHeight="false" outlineLevel="0" collapsed="false">
      <c r="A271" s="9"/>
      <c r="B271" s="9"/>
      <c r="C271" s="10" t="str">
        <f aca="false">IF($B271="","",IFERROR(INDEX('Client Master'!$C:$C,MATCH($B271,'Client Master'!$B:$B,0)),"Code not found"))</f>
        <v/>
      </c>
      <c r="D271" s="9"/>
      <c r="E271" s="9"/>
      <c r="F271" s="9"/>
      <c r="G271" s="11"/>
      <c r="H271" s="11"/>
      <c r="I271" s="9"/>
      <c r="J271" s="12"/>
      <c r="K271" s="11"/>
      <c r="L271" s="9"/>
      <c r="N271" s="0" t="str">
        <f aca="false">IF(AND($J271&gt;0,$K271="",$A271&lt;&gt;""),SUMPRODUCT(($J$2:$J$600&gt;0)*($K$2:$K$600="")*($A$2:$A$600&lt;&gt;"")*((IF($G$2:$G$600="",99999999,$G$2:$G$600))&lt;IF($G271="",99999999,$G271)))+SUMPRODUCT(($J$2:$J271&gt;0)*($K$2:$K271="")*($A$2:$A271&lt;&gt;"")*((IF($G$2:$G271="",99999999,$G$2:$G271))=IF($G271="",99999999,$G271))),"")</f>
        <v/>
      </c>
      <c r="O271" s="0" t="str">
        <f aca="false">IF(AND($F271="Not Started",$A271&lt;&gt;""),SUMPRODUCT(($F$2:$F$600="Not Started")*($A$2:$A$600&lt;&gt;"")*((IF($G$2:$G$600="",99999999,$G$2:$G$600))&lt;IF($G271="",99999999,$G271)))+SUMPRODUCT(($F$2:$F271="Not Started")*($A$2:$A271&lt;&gt;"")*((IF($G$2:$G271="",99999999,$G$2:$G271))=IF($G271="",99999999,$G271))),"")</f>
        <v/>
      </c>
      <c r="P271" s="0" t="str">
        <f aca="false">IF(AND(OR($F271="In Progress",$F271="Pending Client Data",$F271="Under Review"),$A271&lt;&gt;""),SUMPRODUCT((($F$2:$F$600="In Progress")+($F$2:$F$600="Pending Client Data")+($F$2:$F$600="Under Review"))*($A$2:$A$600&lt;&gt;"")*((IF($G$2:$G$600="",99999999,$G$2:$G$600))&lt;IF($G271="",99999999,$G271)))+SUMPRODUCT((($F$2:$F271="In Progress")+($F$2:$F271="Pending Client Data")+($F$2:$F271="Under Review"))*($A$2:$A271&lt;&gt;"")*((IF($G$2:$G271="",99999999,$G$2:$G271))=IF($G271="",99999999,$G271))),"")</f>
        <v/>
      </c>
    </row>
    <row r="272" customFormat="false" ht="15" hidden="false" customHeight="false" outlineLevel="0" collapsed="false">
      <c r="A272" s="9"/>
      <c r="B272" s="9"/>
      <c r="C272" s="10" t="str">
        <f aca="false">IF($B272="","",IFERROR(INDEX('Client Master'!$C:$C,MATCH($B272,'Client Master'!$B:$B,0)),"Code not found"))</f>
        <v/>
      </c>
      <c r="D272" s="9"/>
      <c r="E272" s="9"/>
      <c r="F272" s="9"/>
      <c r="G272" s="11"/>
      <c r="H272" s="11"/>
      <c r="I272" s="9"/>
      <c r="J272" s="12"/>
      <c r="K272" s="11"/>
      <c r="L272" s="9"/>
      <c r="N272" s="0" t="str">
        <f aca="false">IF(AND($J272&gt;0,$K272="",$A272&lt;&gt;""),SUMPRODUCT(($J$2:$J$600&gt;0)*($K$2:$K$600="")*($A$2:$A$600&lt;&gt;"")*((IF($G$2:$G$600="",99999999,$G$2:$G$600))&lt;IF($G272="",99999999,$G272)))+SUMPRODUCT(($J$2:$J272&gt;0)*($K$2:$K272="")*($A$2:$A272&lt;&gt;"")*((IF($G$2:$G272="",99999999,$G$2:$G272))=IF($G272="",99999999,$G272))),"")</f>
        <v/>
      </c>
      <c r="O272" s="0" t="str">
        <f aca="false">IF(AND($F272="Not Started",$A272&lt;&gt;""),SUMPRODUCT(($F$2:$F$600="Not Started")*($A$2:$A$600&lt;&gt;"")*((IF($G$2:$G$600="",99999999,$G$2:$G$600))&lt;IF($G272="",99999999,$G272)))+SUMPRODUCT(($F$2:$F272="Not Started")*($A$2:$A272&lt;&gt;"")*((IF($G$2:$G272="",99999999,$G$2:$G272))=IF($G272="",99999999,$G272))),"")</f>
        <v/>
      </c>
      <c r="P272" s="0" t="str">
        <f aca="false">IF(AND(OR($F272="In Progress",$F272="Pending Client Data",$F272="Under Review"),$A272&lt;&gt;""),SUMPRODUCT((($F$2:$F$600="In Progress")+($F$2:$F$600="Pending Client Data")+($F$2:$F$600="Under Review"))*($A$2:$A$600&lt;&gt;"")*((IF($G$2:$G$600="",99999999,$G$2:$G$600))&lt;IF($G272="",99999999,$G272)))+SUMPRODUCT((($F$2:$F272="In Progress")+($F$2:$F272="Pending Client Data")+($F$2:$F272="Under Review"))*($A$2:$A272&lt;&gt;"")*((IF($G$2:$G272="",99999999,$G$2:$G272))=IF($G272="",99999999,$G272))),"")</f>
        <v/>
      </c>
    </row>
    <row r="273" customFormat="false" ht="15" hidden="false" customHeight="false" outlineLevel="0" collapsed="false">
      <c r="A273" s="9"/>
      <c r="B273" s="9"/>
      <c r="C273" s="10" t="str">
        <f aca="false">IF($B273="","",IFERROR(INDEX('Client Master'!$C:$C,MATCH($B273,'Client Master'!$B:$B,0)),"Code not found"))</f>
        <v/>
      </c>
      <c r="D273" s="9"/>
      <c r="E273" s="9"/>
      <c r="F273" s="9"/>
      <c r="G273" s="11"/>
      <c r="H273" s="11"/>
      <c r="I273" s="9"/>
      <c r="J273" s="12"/>
      <c r="K273" s="11"/>
      <c r="L273" s="9"/>
      <c r="N273" s="0" t="str">
        <f aca="false">IF(AND($J273&gt;0,$K273="",$A273&lt;&gt;""),SUMPRODUCT(($J$2:$J$600&gt;0)*($K$2:$K$600="")*($A$2:$A$600&lt;&gt;"")*((IF($G$2:$G$600="",99999999,$G$2:$G$600))&lt;IF($G273="",99999999,$G273)))+SUMPRODUCT(($J$2:$J273&gt;0)*($K$2:$K273="")*($A$2:$A273&lt;&gt;"")*((IF($G$2:$G273="",99999999,$G$2:$G273))=IF($G273="",99999999,$G273))),"")</f>
        <v/>
      </c>
      <c r="O273" s="0" t="str">
        <f aca="false">IF(AND($F273="Not Started",$A273&lt;&gt;""),SUMPRODUCT(($F$2:$F$600="Not Started")*($A$2:$A$600&lt;&gt;"")*((IF($G$2:$G$600="",99999999,$G$2:$G$600))&lt;IF($G273="",99999999,$G273)))+SUMPRODUCT(($F$2:$F273="Not Started")*($A$2:$A273&lt;&gt;"")*((IF($G$2:$G273="",99999999,$G$2:$G273))=IF($G273="",99999999,$G273))),"")</f>
        <v/>
      </c>
      <c r="P273" s="0" t="str">
        <f aca="false">IF(AND(OR($F273="In Progress",$F273="Pending Client Data",$F273="Under Review"),$A273&lt;&gt;""),SUMPRODUCT((($F$2:$F$600="In Progress")+($F$2:$F$600="Pending Client Data")+($F$2:$F$600="Under Review"))*($A$2:$A$600&lt;&gt;"")*((IF($G$2:$G$600="",99999999,$G$2:$G$600))&lt;IF($G273="",99999999,$G273)))+SUMPRODUCT((($F$2:$F273="In Progress")+($F$2:$F273="Pending Client Data")+($F$2:$F273="Under Review"))*($A$2:$A273&lt;&gt;"")*((IF($G$2:$G273="",99999999,$G$2:$G273))=IF($G273="",99999999,$G273))),"")</f>
        <v/>
      </c>
    </row>
    <row r="274" customFormat="false" ht="15" hidden="false" customHeight="false" outlineLevel="0" collapsed="false">
      <c r="A274" s="9"/>
      <c r="B274" s="9"/>
      <c r="C274" s="10" t="str">
        <f aca="false">IF($B274="","",IFERROR(INDEX('Client Master'!$C:$C,MATCH($B274,'Client Master'!$B:$B,0)),"Code not found"))</f>
        <v/>
      </c>
      <c r="D274" s="9"/>
      <c r="E274" s="9"/>
      <c r="F274" s="9"/>
      <c r="G274" s="11"/>
      <c r="H274" s="11"/>
      <c r="I274" s="9"/>
      <c r="J274" s="12"/>
      <c r="K274" s="11"/>
      <c r="L274" s="9"/>
      <c r="N274" s="0" t="str">
        <f aca="false">IF(AND($J274&gt;0,$K274="",$A274&lt;&gt;""),SUMPRODUCT(($J$2:$J$600&gt;0)*($K$2:$K$600="")*($A$2:$A$600&lt;&gt;"")*((IF($G$2:$G$600="",99999999,$G$2:$G$600))&lt;IF($G274="",99999999,$G274)))+SUMPRODUCT(($J$2:$J274&gt;0)*($K$2:$K274="")*($A$2:$A274&lt;&gt;"")*((IF($G$2:$G274="",99999999,$G$2:$G274))=IF($G274="",99999999,$G274))),"")</f>
        <v/>
      </c>
      <c r="O274" s="0" t="str">
        <f aca="false">IF(AND($F274="Not Started",$A274&lt;&gt;""),SUMPRODUCT(($F$2:$F$600="Not Started")*($A$2:$A$600&lt;&gt;"")*((IF($G$2:$G$600="",99999999,$G$2:$G$600))&lt;IF($G274="",99999999,$G274)))+SUMPRODUCT(($F$2:$F274="Not Started")*($A$2:$A274&lt;&gt;"")*((IF($G$2:$G274="",99999999,$G$2:$G274))=IF($G274="",99999999,$G274))),"")</f>
        <v/>
      </c>
      <c r="P274" s="0" t="str">
        <f aca="false">IF(AND(OR($F274="In Progress",$F274="Pending Client Data",$F274="Under Review"),$A274&lt;&gt;""),SUMPRODUCT((($F$2:$F$600="In Progress")+($F$2:$F$600="Pending Client Data")+($F$2:$F$600="Under Review"))*($A$2:$A$600&lt;&gt;"")*((IF($G$2:$G$600="",99999999,$G$2:$G$600))&lt;IF($G274="",99999999,$G274)))+SUMPRODUCT((($F$2:$F274="In Progress")+($F$2:$F274="Pending Client Data")+($F$2:$F274="Under Review"))*($A$2:$A274&lt;&gt;"")*((IF($G$2:$G274="",99999999,$G$2:$G274))=IF($G274="",99999999,$G274))),"")</f>
        <v/>
      </c>
    </row>
    <row r="275" customFormat="false" ht="15" hidden="false" customHeight="false" outlineLevel="0" collapsed="false">
      <c r="A275" s="9"/>
      <c r="B275" s="9"/>
      <c r="C275" s="10" t="str">
        <f aca="false">IF($B275="","",IFERROR(INDEX('Client Master'!$C:$C,MATCH($B275,'Client Master'!$B:$B,0)),"Code not found"))</f>
        <v/>
      </c>
      <c r="D275" s="9"/>
      <c r="E275" s="9"/>
      <c r="F275" s="9"/>
      <c r="G275" s="11"/>
      <c r="H275" s="11"/>
      <c r="I275" s="9"/>
      <c r="J275" s="12"/>
      <c r="K275" s="11"/>
      <c r="L275" s="9"/>
      <c r="N275" s="0" t="str">
        <f aca="false">IF(AND($J275&gt;0,$K275="",$A275&lt;&gt;""),SUMPRODUCT(($J$2:$J$600&gt;0)*($K$2:$K$600="")*($A$2:$A$600&lt;&gt;"")*((IF($G$2:$G$600="",99999999,$G$2:$G$600))&lt;IF($G275="",99999999,$G275)))+SUMPRODUCT(($J$2:$J275&gt;0)*($K$2:$K275="")*($A$2:$A275&lt;&gt;"")*((IF($G$2:$G275="",99999999,$G$2:$G275))=IF($G275="",99999999,$G275))),"")</f>
        <v/>
      </c>
      <c r="O275" s="0" t="str">
        <f aca="false">IF(AND($F275="Not Started",$A275&lt;&gt;""),SUMPRODUCT(($F$2:$F$600="Not Started")*($A$2:$A$600&lt;&gt;"")*((IF($G$2:$G$600="",99999999,$G$2:$G$600))&lt;IF($G275="",99999999,$G275)))+SUMPRODUCT(($F$2:$F275="Not Started")*($A$2:$A275&lt;&gt;"")*((IF($G$2:$G275="",99999999,$G$2:$G275))=IF($G275="",99999999,$G275))),"")</f>
        <v/>
      </c>
      <c r="P275" s="0" t="str">
        <f aca="false">IF(AND(OR($F275="In Progress",$F275="Pending Client Data",$F275="Under Review"),$A275&lt;&gt;""),SUMPRODUCT((($F$2:$F$600="In Progress")+($F$2:$F$600="Pending Client Data")+($F$2:$F$600="Under Review"))*($A$2:$A$600&lt;&gt;"")*((IF($G$2:$G$600="",99999999,$G$2:$G$600))&lt;IF($G275="",99999999,$G275)))+SUMPRODUCT((($F$2:$F275="In Progress")+($F$2:$F275="Pending Client Data")+($F$2:$F275="Under Review"))*($A$2:$A275&lt;&gt;"")*((IF($G$2:$G275="",99999999,$G$2:$G275))=IF($G275="",99999999,$G275))),"")</f>
        <v/>
      </c>
    </row>
    <row r="276" customFormat="false" ht="15" hidden="false" customHeight="false" outlineLevel="0" collapsed="false">
      <c r="A276" s="9"/>
      <c r="B276" s="9"/>
      <c r="C276" s="10" t="str">
        <f aca="false">IF($B276="","",IFERROR(INDEX('Client Master'!$C:$C,MATCH($B276,'Client Master'!$B:$B,0)),"Code not found"))</f>
        <v/>
      </c>
      <c r="D276" s="9"/>
      <c r="E276" s="9"/>
      <c r="F276" s="9"/>
      <c r="G276" s="11"/>
      <c r="H276" s="11"/>
      <c r="I276" s="9"/>
      <c r="J276" s="12"/>
      <c r="K276" s="11"/>
      <c r="L276" s="9"/>
      <c r="N276" s="0" t="str">
        <f aca="false">IF(AND($J276&gt;0,$K276="",$A276&lt;&gt;""),SUMPRODUCT(($J$2:$J$600&gt;0)*($K$2:$K$600="")*($A$2:$A$600&lt;&gt;"")*((IF($G$2:$G$600="",99999999,$G$2:$G$600))&lt;IF($G276="",99999999,$G276)))+SUMPRODUCT(($J$2:$J276&gt;0)*($K$2:$K276="")*($A$2:$A276&lt;&gt;"")*((IF($G$2:$G276="",99999999,$G$2:$G276))=IF($G276="",99999999,$G276))),"")</f>
        <v/>
      </c>
      <c r="O276" s="0" t="str">
        <f aca="false">IF(AND($F276="Not Started",$A276&lt;&gt;""),SUMPRODUCT(($F$2:$F$600="Not Started")*($A$2:$A$600&lt;&gt;"")*((IF($G$2:$G$600="",99999999,$G$2:$G$600))&lt;IF($G276="",99999999,$G276)))+SUMPRODUCT(($F$2:$F276="Not Started")*($A$2:$A276&lt;&gt;"")*((IF($G$2:$G276="",99999999,$G$2:$G276))=IF($G276="",99999999,$G276))),"")</f>
        <v/>
      </c>
      <c r="P276" s="0" t="str">
        <f aca="false">IF(AND(OR($F276="In Progress",$F276="Pending Client Data",$F276="Under Review"),$A276&lt;&gt;""),SUMPRODUCT((($F$2:$F$600="In Progress")+($F$2:$F$600="Pending Client Data")+($F$2:$F$600="Under Review"))*($A$2:$A$600&lt;&gt;"")*((IF($G$2:$G$600="",99999999,$G$2:$G$600))&lt;IF($G276="",99999999,$G276)))+SUMPRODUCT((($F$2:$F276="In Progress")+($F$2:$F276="Pending Client Data")+($F$2:$F276="Under Review"))*($A$2:$A276&lt;&gt;"")*((IF($G$2:$G276="",99999999,$G$2:$G276))=IF($G276="",99999999,$G276))),"")</f>
        <v/>
      </c>
    </row>
    <row r="277" customFormat="false" ht="15" hidden="false" customHeight="false" outlineLevel="0" collapsed="false">
      <c r="A277" s="9"/>
      <c r="B277" s="9"/>
      <c r="C277" s="10" t="str">
        <f aca="false">IF($B277="","",IFERROR(INDEX('Client Master'!$C:$C,MATCH($B277,'Client Master'!$B:$B,0)),"Code not found"))</f>
        <v/>
      </c>
      <c r="D277" s="9"/>
      <c r="E277" s="9"/>
      <c r="F277" s="9"/>
      <c r="G277" s="11"/>
      <c r="H277" s="11"/>
      <c r="I277" s="9"/>
      <c r="J277" s="12"/>
      <c r="K277" s="11"/>
      <c r="L277" s="9"/>
      <c r="N277" s="0" t="str">
        <f aca="false">IF(AND($J277&gt;0,$K277="",$A277&lt;&gt;""),SUMPRODUCT(($J$2:$J$600&gt;0)*($K$2:$K$600="")*($A$2:$A$600&lt;&gt;"")*((IF($G$2:$G$600="",99999999,$G$2:$G$600))&lt;IF($G277="",99999999,$G277)))+SUMPRODUCT(($J$2:$J277&gt;0)*($K$2:$K277="")*($A$2:$A277&lt;&gt;"")*((IF($G$2:$G277="",99999999,$G$2:$G277))=IF($G277="",99999999,$G277))),"")</f>
        <v/>
      </c>
      <c r="O277" s="0" t="str">
        <f aca="false">IF(AND($F277="Not Started",$A277&lt;&gt;""),SUMPRODUCT(($F$2:$F$600="Not Started")*($A$2:$A$600&lt;&gt;"")*((IF($G$2:$G$600="",99999999,$G$2:$G$600))&lt;IF($G277="",99999999,$G277)))+SUMPRODUCT(($F$2:$F277="Not Started")*($A$2:$A277&lt;&gt;"")*((IF($G$2:$G277="",99999999,$G$2:$G277))=IF($G277="",99999999,$G277))),"")</f>
        <v/>
      </c>
      <c r="P277" s="0" t="str">
        <f aca="false">IF(AND(OR($F277="In Progress",$F277="Pending Client Data",$F277="Under Review"),$A277&lt;&gt;""),SUMPRODUCT((($F$2:$F$600="In Progress")+($F$2:$F$600="Pending Client Data")+($F$2:$F$600="Under Review"))*($A$2:$A$600&lt;&gt;"")*((IF($G$2:$G$600="",99999999,$G$2:$G$600))&lt;IF($G277="",99999999,$G277)))+SUMPRODUCT((($F$2:$F277="In Progress")+($F$2:$F277="Pending Client Data")+($F$2:$F277="Under Review"))*($A$2:$A277&lt;&gt;"")*((IF($G$2:$G277="",99999999,$G$2:$G277))=IF($G277="",99999999,$G277))),"")</f>
        <v/>
      </c>
    </row>
    <row r="278" customFormat="false" ht="15" hidden="false" customHeight="false" outlineLevel="0" collapsed="false">
      <c r="A278" s="9"/>
      <c r="B278" s="9"/>
      <c r="C278" s="10" t="str">
        <f aca="false">IF($B278="","",IFERROR(INDEX('Client Master'!$C:$C,MATCH($B278,'Client Master'!$B:$B,0)),"Code not found"))</f>
        <v/>
      </c>
      <c r="D278" s="9"/>
      <c r="E278" s="9"/>
      <c r="F278" s="9"/>
      <c r="G278" s="11"/>
      <c r="H278" s="11"/>
      <c r="I278" s="9"/>
      <c r="J278" s="12"/>
      <c r="K278" s="11"/>
      <c r="L278" s="9"/>
      <c r="N278" s="0" t="str">
        <f aca="false">IF(AND($J278&gt;0,$K278="",$A278&lt;&gt;""),SUMPRODUCT(($J$2:$J$600&gt;0)*($K$2:$K$600="")*($A$2:$A$600&lt;&gt;"")*((IF($G$2:$G$600="",99999999,$G$2:$G$600))&lt;IF($G278="",99999999,$G278)))+SUMPRODUCT(($J$2:$J278&gt;0)*($K$2:$K278="")*($A$2:$A278&lt;&gt;"")*((IF($G$2:$G278="",99999999,$G$2:$G278))=IF($G278="",99999999,$G278))),"")</f>
        <v/>
      </c>
      <c r="O278" s="0" t="str">
        <f aca="false">IF(AND($F278="Not Started",$A278&lt;&gt;""),SUMPRODUCT(($F$2:$F$600="Not Started")*($A$2:$A$600&lt;&gt;"")*((IF($G$2:$G$600="",99999999,$G$2:$G$600))&lt;IF($G278="",99999999,$G278)))+SUMPRODUCT(($F$2:$F278="Not Started")*($A$2:$A278&lt;&gt;"")*((IF($G$2:$G278="",99999999,$G$2:$G278))=IF($G278="",99999999,$G278))),"")</f>
        <v/>
      </c>
      <c r="P278" s="0" t="str">
        <f aca="false">IF(AND(OR($F278="In Progress",$F278="Pending Client Data",$F278="Under Review"),$A278&lt;&gt;""),SUMPRODUCT((($F$2:$F$600="In Progress")+($F$2:$F$600="Pending Client Data")+($F$2:$F$600="Under Review"))*($A$2:$A$600&lt;&gt;"")*((IF($G$2:$G$600="",99999999,$G$2:$G$600))&lt;IF($G278="",99999999,$G278)))+SUMPRODUCT((($F$2:$F278="In Progress")+($F$2:$F278="Pending Client Data")+($F$2:$F278="Under Review"))*($A$2:$A278&lt;&gt;"")*((IF($G$2:$G278="",99999999,$G$2:$G278))=IF($G278="",99999999,$G278))),"")</f>
        <v/>
      </c>
    </row>
    <row r="279" customFormat="false" ht="15" hidden="false" customHeight="false" outlineLevel="0" collapsed="false">
      <c r="A279" s="9"/>
      <c r="B279" s="9"/>
      <c r="C279" s="10" t="str">
        <f aca="false">IF($B279="","",IFERROR(INDEX('Client Master'!$C:$C,MATCH($B279,'Client Master'!$B:$B,0)),"Code not found"))</f>
        <v/>
      </c>
      <c r="D279" s="9"/>
      <c r="E279" s="9"/>
      <c r="F279" s="9"/>
      <c r="G279" s="11"/>
      <c r="H279" s="11"/>
      <c r="I279" s="9"/>
      <c r="J279" s="12"/>
      <c r="K279" s="11"/>
      <c r="L279" s="9"/>
      <c r="N279" s="0" t="str">
        <f aca="false">IF(AND($J279&gt;0,$K279="",$A279&lt;&gt;""),SUMPRODUCT(($J$2:$J$600&gt;0)*($K$2:$K$600="")*($A$2:$A$600&lt;&gt;"")*((IF($G$2:$G$600="",99999999,$G$2:$G$600))&lt;IF($G279="",99999999,$G279)))+SUMPRODUCT(($J$2:$J279&gt;0)*($K$2:$K279="")*($A$2:$A279&lt;&gt;"")*((IF($G$2:$G279="",99999999,$G$2:$G279))=IF($G279="",99999999,$G279))),"")</f>
        <v/>
      </c>
      <c r="O279" s="0" t="str">
        <f aca="false">IF(AND($F279="Not Started",$A279&lt;&gt;""),SUMPRODUCT(($F$2:$F$600="Not Started")*($A$2:$A$600&lt;&gt;"")*((IF($G$2:$G$600="",99999999,$G$2:$G$600))&lt;IF($G279="",99999999,$G279)))+SUMPRODUCT(($F$2:$F279="Not Started")*($A$2:$A279&lt;&gt;"")*((IF($G$2:$G279="",99999999,$G$2:$G279))=IF($G279="",99999999,$G279))),"")</f>
        <v/>
      </c>
      <c r="P279" s="0" t="str">
        <f aca="false">IF(AND(OR($F279="In Progress",$F279="Pending Client Data",$F279="Under Review"),$A279&lt;&gt;""),SUMPRODUCT((($F$2:$F$600="In Progress")+($F$2:$F$600="Pending Client Data")+($F$2:$F$600="Under Review"))*($A$2:$A$600&lt;&gt;"")*((IF($G$2:$G$600="",99999999,$G$2:$G$600))&lt;IF($G279="",99999999,$G279)))+SUMPRODUCT((($F$2:$F279="In Progress")+($F$2:$F279="Pending Client Data")+($F$2:$F279="Under Review"))*($A$2:$A279&lt;&gt;"")*((IF($G$2:$G279="",99999999,$G$2:$G279))=IF($G279="",99999999,$G279))),"")</f>
        <v/>
      </c>
    </row>
    <row r="280" customFormat="false" ht="15" hidden="false" customHeight="false" outlineLevel="0" collapsed="false">
      <c r="A280" s="9"/>
      <c r="B280" s="9"/>
      <c r="C280" s="10" t="str">
        <f aca="false">IF($B280="","",IFERROR(INDEX('Client Master'!$C:$C,MATCH($B280,'Client Master'!$B:$B,0)),"Code not found"))</f>
        <v/>
      </c>
      <c r="D280" s="9"/>
      <c r="E280" s="9"/>
      <c r="F280" s="9"/>
      <c r="G280" s="11"/>
      <c r="H280" s="11"/>
      <c r="I280" s="9"/>
      <c r="J280" s="12"/>
      <c r="K280" s="11"/>
      <c r="L280" s="9"/>
      <c r="N280" s="0" t="str">
        <f aca="false">IF(AND($J280&gt;0,$K280="",$A280&lt;&gt;""),SUMPRODUCT(($J$2:$J$600&gt;0)*($K$2:$K$600="")*($A$2:$A$600&lt;&gt;"")*((IF($G$2:$G$600="",99999999,$G$2:$G$600))&lt;IF($G280="",99999999,$G280)))+SUMPRODUCT(($J$2:$J280&gt;0)*($K$2:$K280="")*($A$2:$A280&lt;&gt;"")*((IF($G$2:$G280="",99999999,$G$2:$G280))=IF($G280="",99999999,$G280))),"")</f>
        <v/>
      </c>
      <c r="O280" s="0" t="str">
        <f aca="false">IF(AND($F280="Not Started",$A280&lt;&gt;""),SUMPRODUCT(($F$2:$F$600="Not Started")*($A$2:$A$600&lt;&gt;"")*((IF($G$2:$G$600="",99999999,$G$2:$G$600))&lt;IF($G280="",99999999,$G280)))+SUMPRODUCT(($F$2:$F280="Not Started")*($A$2:$A280&lt;&gt;"")*((IF($G$2:$G280="",99999999,$G$2:$G280))=IF($G280="",99999999,$G280))),"")</f>
        <v/>
      </c>
      <c r="P280" s="0" t="str">
        <f aca="false">IF(AND(OR($F280="In Progress",$F280="Pending Client Data",$F280="Under Review"),$A280&lt;&gt;""),SUMPRODUCT((($F$2:$F$600="In Progress")+($F$2:$F$600="Pending Client Data")+($F$2:$F$600="Under Review"))*($A$2:$A$600&lt;&gt;"")*((IF($G$2:$G$600="",99999999,$G$2:$G$600))&lt;IF($G280="",99999999,$G280)))+SUMPRODUCT((($F$2:$F280="In Progress")+($F$2:$F280="Pending Client Data")+($F$2:$F280="Under Review"))*($A$2:$A280&lt;&gt;"")*((IF($G$2:$G280="",99999999,$G$2:$G280))=IF($G280="",99999999,$G280))),"")</f>
        <v/>
      </c>
    </row>
    <row r="281" customFormat="false" ht="15" hidden="false" customHeight="false" outlineLevel="0" collapsed="false">
      <c r="A281" s="9"/>
      <c r="B281" s="9"/>
      <c r="C281" s="10" t="str">
        <f aca="false">IF($B281="","",IFERROR(INDEX('Client Master'!$C:$C,MATCH($B281,'Client Master'!$B:$B,0)),"Code not found"))</f>
        <v/>
      </c>
      <c r="D281" s="9"/>
      <c r="E281" s="9"/>
      <c r="F281" s="9"/>
      <c r="G281" s="11"/>
      <c r="H281" s="11"/>
      <c r="I281" s="9"/>
      <c r="J281" s="12"/>
      <c r="K281" s="11"/>
      <c r="L281" s="9"/>
      <c r="N281" s="0" t="str">
        <f aca="false">IF(AND($J281&gt;0,$K281="",$A281&lt;&gt;""),SUMPRODUCT(($J$2:$J$600&gt;0)*($K$2:$K$600="")*($A$2:$A$600&lt;&gt;"")*((IF($G$2:$G$600="",99999999,$G$2:$G$600))&lt;IF($G281="",99999999,$G281)))+SUMPRODUCT(($J$2:$J281&gt;0)*($K$2:$K281="")*($A$2:$A281&lt;&gt;"")*((IF($G$2:$G281="",99999999,$G$2:$G281))=IF($G281="",99999999,$G281))),"")</f>
        <v/>
      </c>
      <c r="O281" s="0" t="str">
        <f aca="false">IF(AND($F281="Not Started",$A281&lt;&gt;""),SUMPRODUCT(($F$2:$F$600="Not Started")*($A$2:$A$600&lt;&gt;"")*((IF($G$2:$G$600="",99999999,$G$2:$G$600))&lt;IF($G281="",99999999,$G281)))+SUMPRODUCT(($F$2:$F281="Not Started")*($A$2:$A281&lt;&gt;"")*((IF($G$2:$G281="",99999999,$G$2:$G281))=IF($G281="",99999999,$G281))),"")</f>
        <v/>
      </c>
      <c r="P281" s="0" t="str">
        <f aca="false">IF(AND(OR($F281="In Progress",$F281="Pending Client Data",$F281="Under Review"),$A281&lt;&gt;""),SUMPRODUCT((($F$2:$F$600="In Progress")+($F$2:$F$600="Pending Client Data")+($F$2:$F$600="Under Review"))*($A$2:$A$600&lt;&gt;"")*((IF($G$2:$G$600="",99999999,$G$2:$G$600))&lt;IF($G281="",99999999,$G281)))+SUMPRODUCT((($F$2:$F281="In Progress")+($F$2:$F281="Pending Client Data")+($F$2:$F281="Under Review"))*($A$2:$A281&lt;&gt;"")*((IF($G$2:$G281="",99999999,$G$2:$G281))=IF($G281="",99999999,$G281))),"")</f>
        <v/>
      </c>
    </row>
    <row r="282" customFormat="false" ht="15" hidden="false" customHeight="false" outlineLevel="0" collapsed="false">
      <c r="A282" s="9"/>
      <c r="B282" s="9"/>
      <c r="C282" s="10" t="str">
        <f aca="false">IF($B282="","",IFERROR(INDEX('Client Master'!$C:$C,MATCH($B282,'Client Master'!$B:$B,0)),"Code not found"))</f>
        <v/>
      </c>
      <c r="D282" s="9"/>
      <c r="E282" s="9"/>
      <c r="F282" s="9"/>
      <c r="G282" s="11"/>
      <c r="H282" s="11"/>
      <c r="I282" s="9"/>
      <c r="J282" s="12"/>
      <c r="K282" s="11"/>
      <c r="L282" s="9"/>
      <c r="N282" s="0" t="str">
        <f aca="false">IF(AND($J282&gt;0,$K282="",$A282&lt;&gt;""),SUMPRODUCT(($J$2:$J$600&gt;0)*($K$2:$K$600="")*($A$2:$A$600&lt;&gt;"")*((IF($G$2:$G$600="",99999999,$G$2:$G$600))&lt;IF($G282="",99999999,$G282)))+SUMPRODUCT(($J$2:$J282&gt;0)*($K$2:$K282="")*($A$2:$A282&lt;&gt;"")*((IF($G$2:$G282="",99999999,$G$2:$G282))=IF($G282="",99999999,$G282))),"")</f>
        <v/>
      </c>
      <c r="O282" s="0" t="str">
        <f aca="false">IF(AND($F282="Not Started",$A282&lt;&gt;""),SUMPRODUCT(($F$2:$F$600="Not Started")*($A$2:$A$600&lt;&gt;"")*((IF($G$2:$G$600="",99999999,$G$2:$G$600))&lt;IF($G282="",99999999,$G282)))+SUMPRODUCT(($F$2:$F282="Not Started")*($A$2:$A282&lt;&gt;"")*((IF($G$2:$G282="",99999999,$G$2:$G282))=IF($G282="",99999999,$G282))),"")</f>
        <v/>
      </c>
      <c r="P282" s="0" t="str">
        <f aca="false">IF(AND(OR($F282="In Progress",$F282="Pending Client Data",$F282="Under Review"),$A282&lt;&gt;""),SUMPRODUCT((($F$2:$F$600="In Progress")+($F$2:$F$600="Pending Client Data")+($F$2:$F$600="Under Review"))*($A$2:$A$600&lt;&gt;"")*((IF($G$2:$G$600="",99999999,$G$2:$G$600))&lt;IF($G282="",99999999,$G282)))+SUMPRODUCT((($F$2:$F282="In Progress")+($F$2:$F282="Pending Client Data")+($F$2:$F282="Under Review"))*($A$2:$A282&lt;&gt;"")*((IF($G$2:$G282="",99999999,$G$2:$G282))=IF($G282="",99999999,$G282))),"")</f>
        <v/>
      </c>
    </row>
    <row r="283" customFormat="false" ht="15" hidden="false" customHeight="false" outlineLevel="0" collapsed="false">
      <c r="A283" s="9"/>
      <c r="B283" s="9"/>
      <c r="C283" s="10" t="str">
        <f aca="false">IF($B283="","",IFERROR(INDEX('Client Master'!$C:$C,MATCH($B283,'Client Master'!$B:$B,0)),"Code not found"))</f>
        <v/>
      </c>
      <c r="D283" s="9"/>
      <c r="E283" s="9"/>
      <c r="F283" s="9"/>
      <c r="G283" s="11"/>
      <c r="H283" s="11"/>
      <c r="I283" s="9"/>
      <c r="J283" s="12"/>
      <c r="K283" s="11"/>
      <c r="L283" s="9"/>
      <c r="N283" s="0" t="str">
        <f aca="false">IF(AND($J283&gt;0,$K283="",$A283&lt;&gt;""),SUMPRODUCT(($J$2:$J$600&gt;0)*($K$2:$K$600="")*($A$2:$A$600&lt;&gt;"")*((IF($G$2:$G$600="",99999999,$G$2:$G$600))&lt;IF($G283="",99999999,$G283)))+SUMPRODUCT(($J$2:$J283&gt;0)*($K$2:$K283="")*($A$2:$A283&lt;&gt;"")*((IF($G$2:$G283="",99999999,$G$2:$G283))=IF($G283="",99999999,$G283))),"")</f>
        <v/>
      </c>
      <c r="O283" s="0" t="str">
        <f aca="false">IF(AND($F283="Not Started",$A283&lt;&gt;""),SUMPRODUCT(($F$2:$F$600="Not Started")*($A$2:$A$600&lt;&gt;"")*((IF($G$2:$G$600="",99999999,$G$2:$G$600))&lt;IF($G283="",99999999,$G283)))+SUMPRODUCT(($F$2:$F283="Not Started")*($A$2:$A283&lt;&gt;"")*((IF($G$2:$G283="",99999999,$G$2:$G283))=IF($G283="",99999999,$G283))),"")</f>
        <v/>
      </c>
      <c r="P283" s="0" t="str">
        <f aca="false">IF(AND(OR($F283="In Progress",$F283="Pending Client Data",$F283="Under Review"),$A283&lt;&gt;""),SUMPRODUCT((($F$2:$F$600="In Progress")+($F$2:$F$600="Pending Client Data")+($F$2:$F$600="Under Review"))*($A$2:$A$600&lt;&gt;"")*((IF($G$2:$G$600="",99999999,$G$2:$G$600))&lt;IF($G283="",99999999,$G283)))+SUMPRODUCT((($F$2:$F283="In Progress")+($F$2:$F283="Pending Client Data")+($F$2:$F283="Under Review"))*($A$2:$A283&lt;&gt;"")*((IF($G$2:$G283="",99999999,$G$2:$G283))=IF($G283="",99999999,$G283))),"")</f>
        <v/>
      </c>
    </row>
    <row r="284" customFormat="false" ht="15" hidden="false" customHeight="false" outlineLevel="0" collapsed="false">
      <c r="A284" s="9"/>
      <c r="B284" s="9"/>
      <c r="C284" s="10" t="str">
        <f aca="false">IF($B284="","",IFERROR(INDEX('Client Master'!$C:$C,MATCH($B284,'Client Master'!$B:$B,0)),"Code not found"))</f>
        <v/>
      </c>
      <c r="D284" s="9"/>
      <c r="E284" s="9"/>
      <c r="F284" s="9"/>
      <c r="G284" s="11"/>
      <c r="H284" s="11"/>
      <c r="I284" s="9"/>
      <c r="J284" s="12"/>
      <c r="K284" s="11"/>
      <c r="L284" s="9"/>
      <c r="N284" s="0" t="str">
        <f aca="false">IF(AND($J284&gt;0,$K284="",$A284&lt;&gt;""),SUMPRODUCT(($J$2:$J$600&gt;0)*($K$2:$K$600="")*($A$2:$A$600&lt;&gt;"")*((IF($G$2:$G$600="",99999999,$G$2:$G$600))&lt;IF($G284="",99999999,$G284)))+SUMPRODUCT(($J$2:$J284&gt;0)*($K$2:$K284="")*($A$2:$A284&lt;&gt;"")*((IF($G$2:$G284="",99999999,$G$2:$G284))=IF($G284="",99999999,$G284))),"")</f>
        <v/>
      </c>
      <c r="O284" s="0" t="str">
        <f aca="false">IF(AND($F284="Not Started",$A284&lt;&gt;""),SUMPRODUCT(($F$2:$F$600="Not Started")*($A$2:$A$600&lt;&gt;"")*((IF($G$2:$G$600="",99999999,$G$2:$G$600))&lt;IF($G284="",99999999,$G284)))+SUMPRODUCT(($F$2:$F284="Not Started")*($A$2:$A284&lt;&gt;"")*((IF($G$2:$G284="",99999999,$G$2:$G284))=IF($G284="",99999999,$G284))),"")</f>
        <v/>
      </c>
      <c r="P284" s="0" t="str">
        <f aca="false">IF(AND(OR($F284="In Progress",$F284="Pending Client Data",$F284="Under Review"),$A284&lt;&gt;""),SUMPRODUCT((($F$2:$F$600="In Progress")+($F$2:$F$600="Pending Client Data")+($F$2:$F$600="Under Review"))*($A$2:$A$600&lt;&gt;"")*((IF($G$2:$G$600="",99999999,$G$2:$G$600))&lt;IF($G284="",99999999,$G284)))+SUMPRODUCT((($F$2:$F284="In Progress")+($F$2:$F284="Pending Client Data")+($F$2:$F284="Under Review"))*($A$2:$A284&lt;&gt;"")*((IF($G$2:$G284="",99999999,$G$2:$G284))=IF($G284="",99999999,$G284))),"")</f>
        <v/>
      </c>
    </row>
    <row r="285" customFormat="false" ht="15" hidden="false" customHeight="false" outlineLevel="0" collapsed="false">
      <c r="A285" s="9"/>
      <c r="B285" s="9"/>
      <c r="C285" s="10" t="str">
        <f aca="false">IF($B285="","",IFERROR(INDEX('Client Master'!$C:$C,MATCH($B285,'Client Master'!$B:$B,0)),"Code not found"))</f>
        <v/>
      </c>
      <c r="D285" s="9"/>
      <c r="E285" s="9"/>
      <c r="F285" s="9"/>
      <c r="G285" s="11"/>
      <c r="H285" s="11"/>
      <c r="I285" s="9"/>
      <c r="J285" s="12"/>
      <c r="K285" s="11"/>
      <c r="L285" s="9"/>
      <c r="N285" s="0" t="str">
        <f aca="false">IF(AND($J285&gt;0,$K285="",$A285&lt;&gt;""),SUMPRODUCT(($J$2:$J$600&gt;0)*($K$2:$K$600="")*($A$2:$A$600&lt;&gt;"")*((IF($G$2:$G$600="",99999999,$G$2:$G$600))&lt;IF($G285="",99999999,$G285)))+SUMPRODUCT(($J$2:$J285&gt;0)*($K$2:$K285="")*($A$2:$A285&lt;&gt;"")*((IF($G$2:$G285="",99999999,$G$2:$G285))=IF($G285="",99999999,$G285))),"")</f>
        <v/>
      </c>
      <c r="O285" s="0" t="str">
        <f aca="false">IF(AND($F285="Not Started",$A285&lt;&gt;""),SUMPRODUCT(($F$2:$F$600="Not Started")*($A$2:$A$600&lt;&gt;"")*((IF($G$2:$G$600="",99999999,$G$2:$G$600))&lt;IF($G285="",99999999,$G285)))+SUMPRODUCT(($F$2:$F285="Not Started")*($A$2:$A285&lt;&gt;"")*((IF($G$2:$G285="",99999999,$G$2:$G285))=IF($G285="",99999999,$G285))),"")</f>
        <v/>
      </c>
      <c r="P285" s="0" t="str">
        <f aca="false">IF(AND(OR($F285="In Progress",$F285="Pending Client Data",$F285="Under Review"),$A285&lt;&gt;""),SUMPRODUCT((($F$2:$F$600="In Progress")+($F$2:$F$600="Pending Client Data")+($F$2:$F$600="Under Review"))*($A$2:$A$600&lt;&gt;"")*((IF($G$2:$G$600="",99999999,$G$2:$G$600))&lt;IF($G285="",99999999,$G285)))+SUMPRODUCT((($F$2:$F285="In Progress")+($F$2:$F285="Pending Client Data")+($F$2:$F285="Under Review"))*($A$2:$A285&lt;&gt;"")*((IF($G$2:$G285="",99999999,$G$2:$G285))=IF($G285="",99999999,$G285))),"")</f>
        <v/>
      </c>
    </row>
    <row r="286" customFormat="false" ht="15" hidden="false" customHeight="false" outlineLevel="0" collapsed="false">
      <c r="A286" s="9"/>
      <c r="B286" s="9"/>
      <c r="C286" s="10" t="str">
        <f aca="false">IF($B286="","",IFERROR(INDEX('Client Master'!$C:$C,MATCH($B286,'Client Master'!$B:$B,0)),"Code not found"))</f>
        <v/>
      </c>
      <c r="D286" s="9"/>
      <c r="E286" s="9"/>
      <c r="F286" s="9"/>
      <c r="G286" s="11"/>
      <c r="H286" s="11"/>
      <c r="I286" s="9"/>
      <c r="J286" s="12"/>
      <c r="K286" s="11"/>
      <c r="L286" s="9"/>
      <c r="N286" s="0" t="str">
        <f aca="false">IF(AND($J286&gt;0,$K286="",$A286&lt;&gt;""),SUMPRODUCT(($J$2:$J$600&gt;0)*($K$2:$K$600="")*($A$2:$A$600&lt;&gt;"")*((IF($G$2:$G$600="",99999999,$G$2:$G$600))&lt;IF($G286="",99999999,$G286)))+SUMPRODUCT(($J$2:$J286&gt;0)*($K$2:$K286="")*($A$2:$A286&lt;&gt;"")*((IF($G$2:$G286="",99999999,$G$2:$G286))=IF($G286="",99999999,$G286))),"")</f>
        <v/>
      </c>
      <c r="O286" s="0" t="str">
        <f aca="false">IF(AND($F286="Not Started",$A286&lt;&gt;""),SUMPRODUCT(($F$2:$F$600="Not Started")*($A$2:$A$600&lt;&gt;"")*((IF($G$2:$G$600="",99999999,$G$2:$G$600))&lt;IF($G286="",99999999,$G286)))+SUMPRODUCT(($F$2:$F286="Not Started")*($A$2:$A286&lt;&gt;"")*((IF($G$2:$G286="",99999999,$G$2:$G286))=IF($G286="",99999999,$G286))),"")</f>
        <v/>
      </c>
      <c r="P286" s="0" t="str">
        <f aca="false">IF(AND(OR($F286="In Progress",$F286="Pending Client Data",$F286="Under Review"),$A286&lt;&gt;""),SUMPRODUCT((($F$2:$F$600="In Progress")+($F$2:$F$600="Pending Client Data")+($F$2:$F$600="Under Review"))*($A$2:$A$600&lt;&gt;"")*((IF($G$2:$G$600="",99999999,$G$2:$G$600))&lt;IF($G286="",99999999,$G286)))+SUMPRODUCT((($F$2:$F286="In Progress")+($F$2:$F286="Pending Client Data")+($F$2:$F286="Under Review"))*($A$2:$A286&lt;&gt;"")*((IF($G$2:$G286="",99999999,$G$2:$G286))=IF($G286="",99999999,$G286))),"")</f>
        <v/>
      </c>
    </row>
    <row r="287" customFormat="false" ht="15" hidden="false" customHeight="false" outlineLevel="0" collapsed="false">
      <c r="A287" s="9"/>
      <c r="B287" s="9"/>
      <c r="C287" s="10" t="str">
        <f aca="false">IF($B287="","",IFERROR(INDEX('Client Master'!$C:$C,MATCH($B287,'Client Master'!$B:$B,0)),"Code not found"))</f>
        <v/>
      </c>
      <c r="D287" s="9"/>
      <c r="E287" s="9"/>
      <c r="F287" s="9"/>
      <c r="G287" s="11"/>
      <c r="H287" s="11"/>
      <c r="I287" s="9"/>
      <c r="J287" s="12"/>
      <c r="K287" s="11"/>
      <c r="L287" s="9"/>
      <c r="N287" s="0" t="str">
        <f aca="false">IF(AND($J287&gt;0,$K287="",$A287&lt;&gt;""),SUMPRODUCT(($J$2:$J$600&gt;0)*($K$2:$K$600="")*($A$2:$A$600&lt;&gt;"")*((IF($G$2:$G$600="",99999999,$G$2:$G$600))&lt;IF($G287="",99999999,$G287)))+SUMPRODUCT(($J$2:$J287&gt;0)*($K$2:$K287="")*($A$2:$A287&lt;&gt;"")*((IF($G$2:$G287="",99999999,$G$2:$G287))=IF($G287="",99999999,$G287))),"")</f>
        <v/>
      </c>
      <c r="O287" s="0" t="str">
        <f aca="false">IF(AND($F287="Not Started",$A287&lt;&gt;""),SUMPRODUCT(($F$2:$F$600="Not Started")*($A$2:$A$600&lt;&gt;"")*((IF($G$2:$G$600="",99999999,$G$2:$G$600))&lt;IF($G287="",99999999,$G287)))+SUMPRODUCT(($F$2:$F287="Not Started")*($A$2:$A287&lt;&gt;"")*((IF($G$2:$G287="",99999999,$G$2:$G287))=IF($G287="",99999999,$G287))),"")</f>
        <v/>
      </c>
      <c r="P287" s="0" t="str">
        <f aca="false">IF(AND(OR($F287="In Progress",$F287="Pending Client Data",$F287="Under Review"),$A287&lt;&gt;""),SUMPRODUCT((($F$2:$F$600="In Progress")+($F$2:$F$600="Pending Client Data")+($F$2:$F$600="Under Review"))*($A$2:$A$600&lt;&gt;"")*((IF($G$2:$G$600="",99999999,$G$2:$G$600))&lt;IF($G287="",99999999,$G287)))+SUMPRODUCT((($F$2:$F287="In Progress")+($F$2:$F287="Pending Client Data")+($F$2:$F287="Under Review"))*($A$2:$A287&lt;&gt;"")*((IF($G$2:$G287="",99999999,$G$2:$G287))=IF($G287="",99999999,$G287))),"")</f>
        <v/>
      </c>
    </row>
    <row r="288" customFormat="false" ht="15" hidden="false" customHeight="false" outlineLevel="0" collapsed="false">
      <c r="A288" s="9"/>
      <c r="B288" s="9"/>
      <c r="C288" s="10" t="str">
        <f aca="false">IF($B288="","",IFERROR(INDEX('Client Master'!$C:$C,MATCH($B288,'Client Master'!$B:$B,0)),"Code not found"))</f>
        <v/>
      </c>
      <c r="D288" s="9"/>
      <c r="E288" s="9"/>
      <c r="F288" s="9"/>
      <c r="G288" s="11"/>
      <c r="H288" s="11"/>
      <c r="I288" s="9"/>
      <c r="J288" s="12"/>
      <c r="K288" s="11"/>
      <c r="L288" s="9"/>
      <c r="N288" s="0" t="str">
        <f aca="false">IF(AND($J288&gt;0,$K288="",$A288&lt;&gt;""),SUMPRODUCT(($J$2:$J$600&gt;0)*($K$2:$K$600="")*($A$2:$A$600&lt;&gt;"")*((IF($G$2:$G$600="",99999999,$G$2:$G$600))&lt;IF($G288="",99999999,$G288)))+SUMPRODUCT(($J$2:$J288&gt;0)*($K$2:$K288="")*($A$2:$A288&lt;&gt;"")*((IF($G$2:$G288="",99999999,$G$2:$G288))=IF($G288="",99999999,$G288))),"")</f>
        <v/>
      </c>
      <c r="O288" s="0" t="str">
        <f aca="false">IF(AND($F288="Not Started",$A288&lt;&gt;""),SUMPRODUCT(($F$2:$F$600="Not Started")*($A$2:$A$600&lt;&gt;"")*((IF($G$2:$G$600="",99999999,$G$2:$G$600))&lt;IF($G288="",99999999,$G288)))+SUMPRODUCT(($F$2:$F288="Not Started")*($A$2:$A288&lt;&gt;"")*((IF($G$2:$G288="",99999999,$G$2:$G288))=IF($G288="",99999999,$G288))),"")</f>
        <v/>
      </c>
      <c r="P288" s="0" t="str">
        <f aca="false">IF(AND(OR($F288="In Progress",$F288="Pending Client Data",$F288="Under Review"),$A288&lt;&gt;""),SUMPRODUCT((($F$2:$F$600="In Progress")+($F$2:$F$600="Pending Client Data")+($F$2:$F$600="Under Review"))*($A$2:$A$600&lt;&gt;"")*((IF($G$2:$G$600="",99999999,$G$2:$G$600))&lt;IF($G288="",99999999,$G288)))+SUMPRODUCT((($F$2:$F288="In Progress")+($F$2:$F288="Pending Client Data")+($F$2:$F288="Under Review"))*($A$2:$A288&lt;&gt;"")*((IF($G$2:$G288="",99999999,$G$2:$G288))=IF($G288="",99999999,$G288))),"")</f>
        <v/>
      </c>
    </row>
    <row r="289" customFormat="false" ht="15" hidden="false" customHeight="false" outlineLevel="0" collapsed="false">
      <c r="A289" s="9"/>
      <c r="B289" s="9"/>
      <c r="C289" s="10" t="str">
        <f aca="false">IF($B289="","",IFERROR(INDEX('Client Master'!$C:$C,MATCH($B289,'Client Master'!$B:$B,0)),"Code not found"))</f>
        <v/>
      </c>
      <c r="D289" s="9"/>
      <c r="E289" s="9"/>
      <c r="F289" s="9"/>
      <c r="G289" s="11"/>
      <c r="H289" s="11"/>
      <c r="I289" s="9"/>
      <c r="J289" s="12"/>
      <c r="K289" s="11"/>
      <c r="L289" s="9"/>
      <c r="N289" s="0" t="str">
        <f aca="false">IF(AND($J289&gt;0,$K289="",$A289&lt;&gt;""),SUMPRODUCT(($J$2:$J$600&gt;0)*($K$2:$K$600="")*($A$2:$A$600&lt;&gt;"")*((IF($G$2:$G$600="",99999999,$G$2:$G$600))&lt;IF($G289="",99999999,$G289)))+SUMPRODUCT(($J$2:$J289&gt;0)*($K$2:$K289="")*($A$2:$A289&lt;&gt;"")*((IF($G$2:$G289="",99999999,$G$2:$G289))=IF($G289="",99999999,$G289))),"")</f>
        <v/>
      </c>
      <c r="O289" s="0" t="str">
        <f aca="false">IF(AND($F289="Not Started",$A289&lt;&gt;""),SUMPRODUCT(($F$2:$F$600="Not Started")*($A$2:$A$600&lt;&gt;"")*((IF($G$2:$G$600="",99999999,$G$2:$G$600))&lt;IF($G289="",99999999,$G289)))+SUMPRODUCT(($F$2:$F289="Not Started")*($A$2:$A289&lt;&gt;"")*((IF($G$2:$G289="",99999999,$G$2:$G289))=IF($G289="",99999999,$G289))),"")</f>
        <v/>
      </c>
      <c r="P289" s="0" t="str">
        <f aca="false">IF(AND(OR($F289="In Progress",$F289="Pending Client Data",$F289="Under Review"),$A289&lt;&gt;""),SUMPRODUCT((($F$2:$F$600="In Progress")+($F$2:$F$600="Pending Client Data")+($F$2:$F$600="Under Review"))*($A$2:$A$600&lt;&gt;"")*((IF($G$2:$G$600="",99999999,$G$2:$G$600))&lt;IF($G289="",99999999,$G289)))+SUMPRODUCT((($F$2:$F289="In Progress")+($F$2:$F289="Pending Client Data")+($F$2:$F289="Under Review"))*($A$2:$A289&lt;&gt;"")*((IF($G$2:$G289="",99999999,$G$2:$G289))=IF($G289="",99999999,$G289))),"")</f>
        <v/>
      </c>
    </row>
    <row r="290" customFormat="false" ht="15" hidden="false" customHeight="false" outlineLevel="0" collapsed="false">
      <c r="A290" s="9"/>
      <c r="B290" s="9"/>
      <c r="C290" s="10" t="str">
        <f aca="false">IF($B290="","",IFERROR(INDEX('Client Master'!$C:$C,MATCH($B290,'Client Master'!$B:$B,0)),"Code not found"))</f>
        <v/>
      </c>
      <c r="D290" s="9"/>
      <c r="E290" s="9"/>
      <c r="F290" s="9"/>
      <c r="G290" s="11"/>
      <c r="H290" s="11"/>
      <c r="I290" s="9"/>
      <c r="J290" s="12"/>
      <c r="K290" s="11"/>
      <c r="L290" s="9"/>
      <c r="N290" s="0" t="str">
        <f aca="false">IF(AND($J290&gt;0,$K290="",$A290&lt;&gt;""),SUMPRODUCT(($J$2:$J$600&gt;0)*($K$2:$K$600="")*($A$2:$A$600&lt;&gt;"")*((IF($G$2:$G$600="",99999999,$G$2:$G$600))&lt;IF($G290="",99999999,$G290)))+SUMPRODUCT(($J$2:$J290&gt;0)*($K$2:$K290="")*($A$2:$A290&lt;&gt;"")*((IF($G$2:$G290="",99999999,$G$2:$G290))=IF($G290="",99999999,$G290))),"")</f>
        <v/>
      </c>
      <c r="O290" s="0" t="str">
        <f aca="false">IF(AND($F290="Not Started",$A290&lt;&gt;""),SUMPRODUCT(($F$2:$F$600="Not Started")*($A$2:$A$600&lt;&gt;"")*((IF($G$2:$G$600="",99999999,$G$2:$G$600))&lt;IF($G290="",99999999,$G290)))+SUMPRODUCT(($F$2:$F290="Not Started")*($A$2:$A290&lt;&gt;"")*((IF($G$2:$G290="",99999999,$G$2:$G290))=IF($G290="",99999999,$G290))),"")</f>
        <v/>
      </c>
      <c r="P290" s="0" t="str">
        <f aca="false">IF(AND(OR($F290="In Progress",$F290="Pending Client Data",$F290="Under Review"),$A290&lt;&gt;""),SUMPRODUCT((($F$2:$F$600="In Progress")+($F$2:$F$600="Pending Client Data")+($F$2:$F$600="Under Review"))*($A$2:$A$600&lt;&gt;"")*((IF($G$2:$G$600="",99999999,$G$2:$G$600))&lt;IF($G290="",99999999,$G290)))+SUMPRODUCT((($F$2:$F290="In Progress")+($F$2:$F290="Pending Client Data")+($F$2:$F290="Under Review"))*($A$2:$A290&lt;&gt;"")*((IF($G$2:$G290="",99999999,$G$2:$G290))=IF($G290="",99999999,$G290))),"")</f>
        <v/>
      </c>
    </row>
    <row r="291" customFormat="false" ht="15" hidden="false" customHeight="false" outlineLevel="0" collapsed="false">
      <c r="A291" s="9"/>
      <c r="B291" s="9"/>
      <c r="C291" s="10" t="str">
        <f aca="false">IF($B291="","",IFERROR(INDEX('Client Master'!$C:$C,MATCH($B291,'Client Master'!$B:$B,0)),"Code not found"))</f>
        <v/>
      </c>
      <c r="D291" s="9"/>
      <c r="E291" s="9"/>
      <c r="F291" s="9"/>
      <c r="G291" s="11"/>
      <c r="H291" s="11"/>
      <c r="I291" s="9"/>
      <c r="J291" s="12"/>
      <c r="K291" s="11"/>
      <c r="L291" s="9"/>
      <c r="N291" s="0" t="str">
        <f aca="false">IF(AND($J291&gt;0,$K291="",$A291&lt;&gt;""),SUMPRODUCT(($J$2:$J$600&gt;0)*($K$2:$K$600="")*($A$2:$A$600&lt;&gt;"")*((IF($G$2:$G$600="",99999999,$G$2:$G$600))&lt;IF($G291="",99999999,$G291)))+SUMPRODUCT(($J$2:$J291&gt;0)*($K$2:$K291="")*($A$2:$A291&lt;&gt;"")*((IF($G$2:$G291="",99999999,$G$2:$G291))=IF($G291="",99999999,$G291))),"")</f>
        <v/>
      </c>
      <c r="O291" s="0" t="str">
        <f aca="false">IF(AND($F291="Not Started",$A291&lt;&gt;""),SUMPRODUCT(($F$2:$F$600="Not Started")*($A$2:$A$600&lt;&gt;"")*((IF($G$2:$G$600="",99999999,$G$2:$G$600))&lt;IF($G291="",99999999,$G291)))+SUMPRODUCT(($F$2:$F291="Not Started")*($A$2:$A291&lt;&gt;"")*((IF($G$2:$G291="",99999999,$G$2:$G291))=IF($G291="",99999999,$G291))),"")</f>
        <v/>
      </c>
      <c r="P291" s="0" t="str">
        <f aca="false">IF(AND(OR($F291="In Progress",$F291="Pending Client Data",$F291="Under Review"),$A291&lt;&gt;""),SUMPRODUCT((($F$2:$F$600="In Progress")+($F$2:$F$600="Pending Client Data")+($F$2:$F$600="Under Review"))*($A$2:$A$600&lt;&gt;"")*((IF($G$2:$G$600="",99999999,$G$2:$G$600))&lt;IF($G291="",99999999,$G291)))+SUMPRODUCT((($F$2:$F291="In Progress")+($F$2:$F291="Pending Client Data")+($F$2:$F291="Under Review"))*($A$2:$A291&lt;&gt;"")*((IF($G$2:$G291="",99999999,$G$2:$G291))=IF($G291="",99999999,$G291))),"")</f>
        <v/>
      </c>
    </row>
    <row r="292" customFormat="false" ht="15" hidden="false" customHeight="false" outlineLevel="0" collapsed="false">
      <c r="A292" s="9"/>
      <c r="B292" s="9"/>
      <c r="C292" s="10" t="str">
        <f aca="false">IF($B292="","",IFERROR(INDEX('Client Master'!$C:$C,MATCH($B292,'Client Master'!$B:$B,0)),"Code not found"))</f>
        <v/>
      </c>
      <c r="D292" s="9"/>
      <c r="E292" s="9"/>
      <c r="F292" s="9"/>
      <c r="G292" s="11"/>
      <c r="H292" s="11"/>
      <c r="I292" s="9"/>
      <c r="J292" s="12"/>
      <c r="K292" s="11"/>
      <c r="L292" s="9"/>
      <c r="N292" s="0" t="str">
        <f aca="false">IF(AND($J292&gt;0,$K292="",$A292&lt;&gt;""),SUMPRODUCT(($J$2:$J$600&gt;0)*($K$2:$K$600="")*($A$2:$A$600&lt;&gt;"")*((IF($G$2:$G$600="",99999999,$G$2:$G$600))&lt;IF($G292="",99999999,$G292)))+SUMPRODUCT(($J$2:$J292&gt;0)*($K$2:$K292="")*($A$2:$A292&lt;&gt;"")*((IF($G$2:$G292="",99999999,$G$2:$G292))=IF($G292="",99999999,$G292))),"")</f>
        <v/>
      </c>
      <c r="O292" s="0" t="str">
        <f aca="false">IF(AND($F292="Not Started",$A292&lt;&gt;""),SUMPRODUCT(($F$2:$F$600="Not Started")*($A$2:$A$600&lt;&gt;"")*((IF($G$2:$G$600="",99999999,$G$2:$G$600))&lt;IF($G292="",99999999,$G292)))+SUMPRODUCT(($F$2:$F292="Not Started")*($A$2:$A292&lt;&gt;"")*((IF($G$2:$G292="",99999999,$G$2:$G292))=IF($G292="",99999999,$G292))),"")</f>
        <v/>
      </c>
      <c r="P292" s="0" t="str">
        <f aca="false">IF(AND(OR($F292="In Progress",$F292="Pending Client Data",$F292="Under Review"),$A292&lt;&gt;""),SUMPRODUCT((($F$2:$F$600="In Progress")+($F$2:$F$600="Pending Client Data")+($F$2:$F$600="Under Review"))*($A$2:$A$600&lt;&gt;"")*((IF($G$2:$G$600="",99999999,$G$2:$G$600))&lt;IF($G292="",99999999,$G292)))+SUMPRODUCT((($F$2:$F292="In Progress")+($F$2:$F292="Pending Client Data")+($F$2:$F292="Under Review"))*($A$2:$A292&lt;&gt;"")*((IF($G$2:$G292="",99999999,$G$2:$G292))=IF($G292="",99999999,$G292))),"")</f>
        <v/>
      </c>
    </row>
    <row r="293" customFormat="false" ht="15" hidden="false" customHeight="false" outlineLevel="0" collapsed="false">
      <c r="A293" s="9"/>
      <c r="B293" s="9"/>
      <c r="C293" s="10" t="str">
        <f aca="false">IF($B293="","",IFERROR(INDEX('Client Master'!$C:$C,MATCH($B293,'Client Master'!$B:$B,0)),"Code not found"))</f>
        <v/>
      </c>
      <c r="D293" s="9"/>
      <c r="E293" s="9"/>
      <c r="F293" s="9"/>
      <c r="G293" s="11"/>
      <c r="H293" s="11"/>
      <c r="I293" s="9"/>
      <c r="J293" s="12"/>
      <c r="K293" s="11"/>
      <c r="L293" s="9"/>
      <c r="N293" s="0" t="str">
        <f aca="false">IF(AND($J293&gt;0,$K293="",$A293&lt;&gt;""),SUMPRODUCT(($J$2:$J$600&gt;0)*($K$2:$K$600="")*($A$2:$A$600&lt;&gt;"")*((IF($G$2:$G$600="",99999999,$G$2:$G$600))&lt;IF($G293="",99999999,$G293)))+SUMPRODUCT(($J$2:$J293&gt;0)*($K$2:$K293="")*($A$2:$A293&lt;&gt;"")*((IF($G$2:$G293="",99999999,$G$2:$G293))=IF($G293="",99999999,$G293))),"")</f>
        <v/>
      </c>
      <c r="O293" s="0" t="str">
        <f aca="false">IF(AND($F293="Not Started",$A293&lt;&gt;""),SUMPRODUCT(($F$2:$F$600="Not Started")*($A$2:$A$600&lt;&gt;"")*((IF($G$2:$G$600="",99999999,$G$2:$G$600))&lt;IF($G293="",99999999,$G293)))+SUMPRODUCT(($F$2:$F293="Not Started")*($A$2:$A293&lt;&gt;"")*((IF($G$2:$G293="",99999999,$G$2:$G293))=IF($G293="",99999999,$G293))),"")</f>
        <v/>
      </c>
      <c r="P293" s="0" t="str">
        <f aca="false">IF(AND(OR($F293="In Progress",$F293="Pending Client Data",$F293="Under Review"),$A293&lt;&gt;""),SUMPRODUCT((($F$2:$F$600="In Progress")+($F$2:$F$600="Pending Client Data")+($F$2:$F$600="Under Review"))*($A$2:$A$600&lt;&gt;"")*((IF($G$2:$G$600="",99999999,$G$2:$G$600))&lt;IF($G293="",99999999,$G293)))+SUMPRODUCT((($F$2:$F293="In Progress")+($F$2:$F293="Pending Client Data")+($F$2:$F293="Under Review"))*($A$2:$A293&lt;&gt;"")*((IF($G$2:$G293="",99999999,$G$2:$G293))=IF($G293="",99999999,$G293))),"")</f>
        <v/>
      </c>
    </row>
    <row r="294" customFormat="false" ht="15" hidden="false" customHeight="false" outlineLevel="0" collapsed="false">
      <c r="A294" s="9"/>
      <c r="B294" s="9"/>
      <c r="C294" s="10" t="str">
        <f aca="false">IF($B294="","",IFERROR(INDEX('Client Master'!$C:$C,MATCH($B294,'Client Master'!$B:$B,0)),"Code not found"))</f>
        <v/>
      </c>
      <c r="D294" s="9"/>
      <c r="E294" s="9"/>
      <c r="F294" s="9"/>
      <c r="G294" s="11"/>
      <c r="H294" s="11"/>
      <c r="I294" s="9"/>
      <c r="J294" s="12"/>
      <c r="K294" s="11"/>
      <c r="L294" s="9"/>
      <c r="N294" s="0" t="str">
        <f aca="false">IF(AND($J294&gt;0,$K294="",$A294&lt;&gt;""),SUMPRODUCT(($J$2:$J$600&gt;0)*($K$2:$K$600="")*($A$2:$A$600&lt;&gt;"")*((IF($G$2:$G$600="",99999999,$G$2:$G$600))&lt;IF($G294="",99999999,$G294)))+SUMPRODUCT(($J$2:$J294&gt;0)*($K$2:$K294="")*($A$2:$A294&lt;&gt;"")*((IF($G$2:$G294="",99999999,$G$2:$G294))=IF($G294="",99999999,$G294))),"")</f>
        <v/>
      </c>
      <c r="O294" s="0" t="str">
        <f aca="false">IF(AND($F294="Not Started",$A294&lt;&gt;""),SUMPRODUCT(($F$2:$F$600="Not Started")*($A$2:$A$600&lt;&gt;"")*((IF($G$2:$G$600="",99999999,$G$2:$G$600))&lt;IF($G294="",99999999,$G294)))+SUMPRODUCT(($F$2:$F294="Not Started")*($A$2:$A294&lt;&gt;"")*((IF($G$2:$G294="",99999999,$G$2:$G294))=IF($G294="",99999999,$G294))),"")</f>
        <v/>
      </c>
      <c r="P294" s="0" t="str">
        <f aca="false">IF(AND(OR($F294="In Progress",$F294="Pending Client Data",$F294="Under Review"),$A294&lt;&gt;""),SUMPRODUCT((($F$2:$F$600="In Progress")+($F$2:$F$600="Pending Client Data")+($F$2:$F$600="Under Review"))*($A$2:$A$600&lt;&gt;"")*((IF($G$2:$G$600="",99999999,$G$2:$G$600))&lt;IF($G294="",99999999,$G294)))+SUMPRODUCT((($F$2:$F294="In Progress")+($F$2:$F294="Pending Client Data")+($F$2:$F294="Under Review"))*($A$2:$A294&lt;&gt;"")*((IF($G$2:$G294="",99999999,$G$2:$G294))=IF($G294="",99999999,$G294))),"")</f>
        <v/>
      </c>
    </row>
    <row r="295" customFormat="false" ht="15" hidden="false" customHeight="false" outlineLevel="0" collapsed="false">
      <c r="A295" s="9"/>
      <c r="B295" s="9"/>
      <c r="C295" s="10" t="str">
        <f aca="false">IF($B295="","",IFERROR(INDEX('Client Master'!$C:$C,MATCH($B295,'Client Master'!$B:$B,0)),"Code not found"))</f>
        <v/>
      </c>
      <c r="D295" s="9"/>
      <c r="E295" s="9"/>
      <c r="F295" s="9"/>
      <c r="G295" s="11"/>
      <c r="H295" s="11"/>
      <c r="I295" s="9"/>
      <c r="J295" s="12"/>
      <c r="K295" s="11"/>
      <c r="L295" s="9"/>
      <c r="N295" s="0" t="str">
        <f aca="false">IF(AND($J295&gt;0,$K295="",$A295&lt;&gt;""),SUMPRODUCT(($J$2:$J$600&gt;0)*($K$2:$K$600="")*($A$2:$A$600&lt;&gt;"")*((IF($G$2:$G$600="",99999999,$G$2:$G$600))&lt;IF($G295="",99999999,$G295)))+SUMPRODUCT(($J$2:$J295&gt;0)*($K$2:$K295="")*($A$2:$A295&lt;&gt;"")*((IF($G$2:$G295="",99999999,$G$2:$G295))=IF($G295="",99999999,$G295))),"")</f>
        <v/>
      </c>
      <c r="O295" s="0" t="str">
        <f aca="false">IF(AND($F295="Not Started",$A295&lt;&gt;""),SUMPRODUCT(($F$2:$F$600="Not Started")*($A$2:$A$600&lt;&gt;"")*((IF($G$2:$G$600="",99999999,$G$2:$G$600))&lt;IF($G295="",99999999,$G295)))+SUMPRODUCT(($F$2:$F295="Not Started")*($A$2:$A295&lt;&gt;"")*((IF($G$2:$G295="",99999999,$G$2:$G295))=IF($G295="",99999999,$G295))),"")</f>
        <v/>
      </c>
      <c r="P295" s="0" t="str">
        <f aca="false">IF(AND(OR($F295="In Progress",$F295="Pending Client Data",$F295="Under Review"),$A295&lt;&gt;""),SUMPRODUCT((($F$2:$F$600="In Progress")+($F$2:$F$600="Pending Client Data")+($F$2:$F$600="Under Review"))*($A$2:$A$600&lt;&gt;"")*((IF($G$2:$G$600="",99999999,$G$2:$G$600))&lt;IF($G295="",99999999,$G295)))+SUMPRODUCT((($F$2:$F295="In Progress")+($F$2:$F295="Pending Client Data")+($F$2:$F295="Under Review"))*($A$2:$A295&lt;&gt;"")*((IF($G$2:$G295="",99999999,$G$2:$G295))=IF($G295="",99999999,$G295))),"")</f>
        <v/>
      </c>
    </row>
    <row r="296" customFormat="false" ht="15" hidden="false" customHeight="false" outlineLevel="0" collapsed="false">
      <c r="A296" s="9"/>
      <c r="B296" s="9"/>
      <c r="C296" s="10" t="str">
        <f aca="false">IF($B296="","",IFERROR(INDEX('Client Master'!$C:$C,MATCH($B296,'Client Master'!$B:$B,0)),"Code not found"))</f>
        <v/>
      </c>
      <c r="D296" s="9"/>
      <c r="E296" s="9"/>
      <c r="F296" s="9"/>
      <c r="G296" s="11"/>
      <c r="H296" s="11"/>
      <c r="I296" s="9"/>
      <c r="J296" s="12"/>
      <c r="K296" s="11"/>
      <c r="L296" s="9"/>
      <c r="N296" s="0" t="str">
        <f aca="false">IF(AND($J296&gt;0,$K296="",$A296&lt;&gt;""),SUMPRODUCT(($J$2:$J$600&gt;0)*($K$2:$K$600="")*($A$2:$A$600&lt;&gt;"")*((IF($G$2:$G$600="",99999999,$G$2:$G$600))&lt;IF($G296="",99999999,$G296)))+SUMPRODUCT(($J$2:$J296&gt;0)*($K$2:$K296="")*($A$2:$A296&lt;&gt;"")*((IF($G$2:$G296="",99999999,$G$2:$G296))=IF($G296="",99999999,$G296))),"")</f>
        <v/>
      </c>
      <c r="O296" s="0" t="str">
        <f aca="false">IF(AND($F296="Not Started",$A296&lt;&gt;""),SUMPRODUCT(($F$2:$F$600="Not Started")*($A$2:$A$600&lt;&gt;"")*((IF($G$2:$G$600="",99999999,$G$2:$G$600))&lt;IF($G296="",99999999,$G296)))+SUMPRODUCT(($F$2:$F296="Not Started")*($A$2:$A296&lt;&gt;"")*((IF($G$2:$G296="",99999999,$G$2:$G296))=IF($G296="",99999999,$G296))),"")</f>
        <v/>
      </c>
      <c r="P296" s="0" t="str">
        <f aca="false">IF(AND(OR($F296="In Progress",$F296="Pending Client Data",$F296="Under Review"),$A296&lt;&gt;""),SUMPRODUCT((($F$2:$F$600="In Progress")+($F$2:$F$600="Pending Client Data")+($F$2:$F$600="Under Review"))*($A$2:$A$600&lt;&gt;"")*((IF($G$2:$G$600="",99999999,$G$2:$G$600))&lt;IF($G296="",99999999,$G296)))+SUMPRODUCT((($F$2:$F296="In Progress")+($F$2:$F296="Pending Client Data")+($F$2:$F296="Under Review"))*($A$2:$A296&lt;&gt;"")*((IF($G$2:$G296="",99999999,$G$2:$G296))=IF($G296="",99999999,$G296))),"")</f>
        <v/>
      </c>
    </row>
    <row r="297" customFormat="false" ht="15" hidden="false" customHeight="false" outlineLevel="0" collapsed="false">
      <c r="A297" s="9"/>
      <c r="B297" s="9"/>
      <c r="C297" s="10" t="str">
        <f aca="false">IF($B297="","",IFERROR(INDEX('Client Master'!$C:$C,MATCH($B297,'Client Master'!$B:$B,0)),"Code not found"))</f>
        <v/>
      </c>
      <c r="D297" s="9"/>
      <c r="E297" s="9"/>
      <c r="F297" s="9"/>
      <c r="G297" s="11"/>
      <c r="H297" s="11"/>
      <c r="I297" s="9"/>
      <c r="J297" s="12"/>
      <c r="K297" s="11"/>
      <c r="L297" s="9"/>
      <c r="N297" s="0" t="str">
        <f aca="false">IF(AND($J297&gt;0,$K297="",$A297&lt;&gt;""),SUMPRODUCT(($J$2:$J$600&gt;0)*($K$2:$K$600="")*($A$2:$A$600&lt;&gt;"")*((IF($G$2:$G$600="",99999999,$G$2:$G$600))&lt;IF($G297="",99999999,$G297)))+SUMPRODUCT(($J$2:$J297&gt;0)*($K$2:$K297="")*($A$2:$A297&lt;&gt;"")*((IF($G$2:$G297="",99999999,$G$2:$G297))=IF($G297="",99999999,$G297))),"")</f>
        <v/>
      </c>
      <c r="O297" s="0" t="str">
        <f aca="false">IF(AND($F297="Not Started",$A297&lt;&gt;""),SUMPRODUCT(($F$2:$F$600="Not Started")*($A$2:$A$600&lt;&gt;"")*((IF($G$2:$G$600="",99999999,$G$2:$G$600))&lt;IF($G297="",99999999,$G297)))+SUMPRODUCT(($F$2:$F297="Not Started")*($A$2:$A297&lt;&gt;"")*((IF($G$2:$G297="",99999999,$G$2:$G297))=IF($G297="",99999999,$G297))),"")</f>
        <v/>
      </c>
      <c r="P297" s="0" t="str">
        <f aca="false">IF(AND(OR($F297="In Progress",$F297="Pending Client Data",$F297="Under Review"),$A297&lt;&gt;""),SUMPRODUCT((($F$2:$F$600="In Progress")+($F$2:$F$600="Pending Client Data")+($F$2:$F$600="Under Review"))*($A$2:$A$600&lt;&gt;"")*((IF($G$2:$G$600="",99999999,$G$2:$G$600))&lt;IF($G297="",99999999,$G297)))+SUMPRODUCT((($F$2:$F297="In Progress")+($F$2:$F297="Pending Client Data")+($F$2:$F297="Under Review"))*($A$2:$A297&lt;&gt;"")*((IF($G$2:$G297="",99999999,$G$2:$G297))=IF($G297="",99999999,$G297))),"")</f>
        <v/>
      </c>
    </row>
    <row r="298" customFormat="false" ht="15" hidden="false" customHeight="false" outlineLevel="0" collapsed="false">
      <c r="A298" s="9"/>
      <c r="B298" s="9"/>
      <c r="C298" s="10" t="str">
        <f aca="false">IF($B298="","",IFERROR(INDEX('Client Master'!$C:$C,MATCH($B298,'Client Master'!$B:$B,0)),"Code not found"))</f>
        <v/>
      </c>
      <c r="D298" s="9"/>
      <c r="E298" s="9"/>
      <c r="F298" s="9"/>
      <c r="G298" s="11"/>
      <c r="H298" s="11"/>
      <c r="I298" s="9"/>
      <c r="J298" s="12"/>
      <c r="K298" s="11"/>
      <c r="L298" s="9"/>
      <c r="N298" s="0" t="str">
        <f aca="false">IF(AND($J298&gt;0,$K298="",$A298&lt;&gt;""),SUMPRODUCT(($J$2:$J$600&gt;0)*($K$2:$K$600="")*($A$2:$A$600&lt;&gt;"")*((IF($G$2:$G$600="",99999999,$G$2:$G$600))&lt;IF($G298="",99999999,$G298)))+SUMPRODUCT(($J$2:$J298&gt;0)*($K$2:$K298="")*($A$2:$A298&lt;&gt;"")*((IF($G$2:$G298="",99999999,$G$2:$G298))=IF($G298="",99999999,$G298))),"")</f>
        <v/>
      </c>
      <c r="O298" s="0" t="str">
        <f aca="false">IF(AND($F298="Not Started",$A298&lt;&gt;""),SUMPRODUCT(($F$2:$F$600="Not Started")*($A$2:$A$600&lt;&gt;"")*((IF($G$2:$G$600="",99999999,$G$2:$G$600))&lt;IF($G298="",99999999,$G298)))+SUMPRODUCT(($F$2:$F298="Not Started")*($A$2:$A298&lt;&gt;"")*((IF($G$2:$G298="",99999999,$G$2:$G298))=IF($G298="",99999999,$G298))),"")</f>
        <v/>
      </c>
      <c r="P298" s="0" t="str">
        <f aca="false">IF(AND(OR($F298="In Progress",$F298="Pending Client Data",$F298="Under Review"),$A298&lt;&gt;""),SUMPRODUCT((($F$2:$F$600="In Progress")+($F$2:$F$600="Pending Client Data")+($F$2:$F$600="Under Review"))*($A$2:$A$600&lt;&gt;"")*((IF($G$2:$G$600="",99999999,$G$2:$G$600))&lt;IF($G298="",99999999,$G298)))+SUMPRODUCT((($F$2:$F298="In Progress")+($F$2:$F298="Pending Client Data")+($F$2:$F298="Under Review"))*($A$2:$A298&lt;&gt;"")*((IF($G$2:$G298="",99999999,$G$2:$G298))=IF($G298="",99999999,$G298))),"")</f>
        <v/>
      </c>
    </row>
    <row r="299" customFormat="false" ht="15" hidden="false" customHeight="false" outlineLevel="0" collapsed="false">
      <c r="A299" s="9"/>
      <c r="B299" s="9"/>
      <c r="C299" s="10" t="str">
        <f aca="false">IF($B299="","",IFERROR(INDEX('Client Master'!$C:$C,MATCH($B299,'Client Master'!$B:$B,0)),"Code not found"))</f>
        <v/>
      </c>
      <c r="D299" s="9"/>
      <c r="E299" s="9"/>
      <c r="F299" s="9"/>
      <c r="G299" s="11"/>
      <c r="H299" s="11"/>
      <c r="I299" s="9"/>
      <c r="J299" s="12"/>
      <c r="K299" s="11"/>
      <c r="L299" s="9"/>
      <c r="N299" s="0" t="str">
        <f aca="false">IF(AND($J299&gt;0,$K299="",$A299&lt;&gt;""),SUMPRODUCT(($J$2:$J$600&gt;0)*($K$2:$K$600="")*($A$2:$A$600&lt;&gt;"")*((IF($G$2:$G$600="",99999999,$G$2:$G$600))&lt;IF($G299="",99999999,$G299)))+SUMPRODUCT(($J$2:$J299&gt;0)*($K$2:$K299="")*($A$2:$A299&lt;&gt;"")*((IF($G$2:$G299="",99999999,$G$2:$G299))=IF($G299="",99999999,$G299))),"")</f>
        <v/>
      </c>
      <c r="O299" s="0" t="str">
        <f aca="false">IF(AND($F299="Not Started",$A299&lt;&gt;""),SUMPRODUCT(($F$2:$F$600="Not Started")*($A$2:$A$600&lt;&gt;"")*((IF($G$2:$G$600="",99999999,$G$2:$G$600))&lt;IF($G299="",99999999,$G299)))+SUMPRODUCT(($F$2:$F299="Not Started")*($A$2:$A299&lt;&gt;"")*((IF($G$2:$G299="",99999999,$G$2:$G299))=IF($G299="",99999999,$G299))),"")</f>
        <v/>
      </c>
      <c r="P299" s="0" t="str">
        <f aca="false">IF(AND(OR($F299="In Progress",$F299="Pending Client Data",$F299="Under Review"),$A299&lt;&gt;""),SUMPRODUCT((($F$2:$F$600="In Progress")+($F$2:$F$600="Pending Client Data")+($F$2:$F$600="Under Review"))*($A$2:$A$600&lt;&gt;"")*((IF($G$2:$G$600="",99999999,$G$2:$G$600))&lt;IF($G299="",99999999,$G299)))+SUMPRODUCT((($F$2:$F299="In Progress")+($F$2:$F299="Pending Client Data")+($F$2:$F299="Under Review"))*($A$2:$A299&lt;&gt;"")*((IF($G$2:$G299="",99999999,$G$2:$G299))=IF($G299="",99999999,$G299))),"")</f>
        <v/>
      </c>
    </row>
    <row r="300" customFormat="false" ht="15" hidden="false" customHeight="false" outlineLevel="0" collapsed="false">
      <c r="A300" s="9"/>
      <c r="B300" s="9"/>
      <c r="C300" s="10" t="str">
        <f aca="false">IF($B300="","",IFERROR(INDEX('Client Master'!$C:$C,MATCH($B300,'Client Master'!$B:$B,0)),"Code not found"))</f>
        <v/>
      </c>
      <c r="D300" s="9"/>
      <c r="E300" s="9"/>
      <c r="F300" s="9"/>
      <c r="G300" s="11"/>
      <c r="H300" s="11"/>
      <c r="I300" s="9"/>
      <c r="J300" s="12"/>
      <c r="K300" s="11"/>
      <c r="L300" s="9"/>
      <c r="N300" s="0" t="str">
        <f aca="false">IF(AND($J300&gt;0,$K300="",$A300&lt;&gt;""),SUMPRODUCT(($J$2:$J$600&gt;0)*($K$2:$K$600="")*($A$2:$A$600&lt;&gt;"")*((IF($G$2:$G$600="",99999999,$G$2:$G$600))&lt;IF($G300="",99999999,$G300)))+SUMPRODUCT(($J$2:$J300&gt;0)*($K$2:$K300="")*($A$2:$A300&lt;&gt;"")*((IF($G$2:$G300="",99999999,$G$2:$G300))=IF($G300="",99999999,$G300))),"")</f>
        <v/>
      </c>
      <c r="O300" s="0" t="str">
        <f aca="false">IF(AND($F300="Not Started",$A300&lt;&gt;""),SUMPRODUCT(($F$2:$F$600="Not Started")*($A$2:$A$600&lt;&gt;"")*((IF($G$2:$G$600="",99999999,$G$2:$G$600))&lt;IF($G300="",99999999,$G300)))+SUMPRODUCT(($F$2:$F300="Not Started")*($A$2:$A300&lt;&gt;"")*((IF($G$2:$G300="",99999999,$G$2:$G300))=IF($G300="",99999999,$G300))),"")</f>
        <v/>
      </c>
      <c r="P300" s="0" t="str">
        <f aca="false">IF(AND(OR($F300="In Progress",$F300="Pending Client Data",$F300="Under Review"),$A300&lt;&gt;""),SUMPRODUCT((($F$2:$F$600="In Progress")+($F$2:$F$600="Pending Client Data")+($F$2:$F$600="Under Review"))*($A$2:$A$600&lt;&gt;"")*((IF($G$2:$G$600="",99999999,$G$2:$G$600))&lt;IF($G300="",99999999,$G300)))+SUMPRODUCT((($F$2:$F300="In Progress")+($F$2:$F300="Pending Client Data")+($F$2:$F300="Under Review"))*($A$2:$A300&lt;&gt;"")*((IF($G$2:$G300="",99999999,$G$2:$G300))=IF($G300="",99999999,$G300))),"")</f>
        <v/>
      </c>
    </row>
    <row r="301" customFormat="false" ht="15" hidden="false" customHeight="false" outlineLevel="0" collapsed="false">
      <c r="A301" s="9"/>
      <c r="B301" s="9"/>
      <c r="C301" s="10" t="str">
        <f aca="false">IF($B301="","",IFERROR(INDEX('Client Master'!$C:$C,MATCH($B301,'Client Master'!$B:$B,0)),"Code not found"))</f>
        <v/>
      </c>
      <c r="D301" s="9"/>
      <c r="E301" s="9"/>
      <c r="F301" s="9"/>
      <c r="G301" s="11"/>
      <c r="H301" s="11"/>
      <c r="I301" s="9"/>
      <c r="J301" s="12"/>
      <c r="K301" s="11"/>
      <c r="L301" s="9"/>
      <c r="N301" s="0" t="str">
        <f aca="false">IF(AND($J301&gt;0,$K301="",$A301&lt;&gt;""),SUMPRODUCT(($J$2:$J$600&gt;0)*($K$2:$K$600="")*($A$2:$A$600&lt;&gt;"")*((IF($G$2:$G$600="",99999999,$G$2:$G$600))&lt;IF($G301="",99999999,$G301)))+SUMPRODUCT(($J$2:$J301&gt;0)*($K$2:$K301="")*($A$2:$A301&lt;&gt;"")*((IF($G$2:$G301="",99999999,$G$2:$G301))=IF($G301="",99999999,$G301))),"")</f>
        <v/>
      </c>
      <c r="O301" s="0" t="str">
        <f aca="false">IF(AND($F301="Not Started",$A301&lt;&gt;""),SUMPRODUCT(($F$2:$F$600="Not Started")*($A$2:$A$600&lt;&gt;"")*((IF($G$2:$G$600="",99999999,$G$2:$G$600))&lt;IF($G301="",99999999,$G301)))+SUMPRODUCT(($F$2:$F301="Not Started")*($A$2:$A301&lt;&gt;"")*((IF($G$2:$G301="",99999999,$G$2:$G301))=IF($G301="",99999999,$G301))),"")</f>
        <v/>
      </c>
      <c r="P301" s="0" t="str">
        <f aca="false">IF(AND(OR($F301="In Progress",$F301="Pending Client Data",$F301="Under Review"),$A301&lt;&gt;""),SUMPRODUCT((($F$2:$F$600="In Progress")+($F$2:$F$600="Pending Client Data")+($F$2:$F$600="Under Review"))*($A$2:$A$600&lt;&gt;"")*((IF($G$2:$G$600="",99999999,$G$2:$G$600))&lt;IF($G301="",99999999,$G301)))+SUMPRODUCT((($F$2:$F301="In Progress")+($F$2:$F301="Pending Client Data")+($F$2:$F301="Under Review"))*($A$2:$A301&lt;&gt;"")*((IF($G$2:$G301="",99999999,$G$2:$G301))=IF($G301="",99999999,$G301))),"")</f>
        <v/>
      </c>
    </row>
    <row r="302" customFormat="false" ht="15" hidden="false" customHeight="false" outlineLevel="0" collapsed="false">
      <c r="A302" s="9"/>
      <c r="B302" s="9"/>
      <c r="C302" s="10" t="str">
        <f aca="false">IF($B302="","",IFERROR(INDEX('Client Master'!$C:$C,MATCH($B302,'Client Master'!$B:$B,0)),"Code not found"))</f>
        <v/>
      </c>
      <c r="D302" s="9"/>
      <c r="E302" s="9"/>
      <c r="F302" s="9"/>
      <c r="G302" s="11"/>
      <c r="H302" s="11"/>
      <c r="I302" s="9"/>
      <c r="J302" s="12"/>
      <c r="K302" s="11"/>
      <c r="L302" s="9"/>
      <c r="N302" s="0" t="str">
        <f aca="false">IF(AND($J302&gt;0,$K302="",$A302&lt;&gt;""),SUMPRODUCT(($J$2:$J$600&gt;0)*($K$2:$K$600="")*($A$2:$A$600&lt;&gt;"")*((IF($G$2:$G$600="",99999999,$G$2:$G$600))&lt;IF($G302="",99999999,$G302)))+SUMPRODUCT(($J$2:$J302&gt;0)*($K$2:$K302="")*($A$2:$A302&lt;&gt;"")*((IF($G$2:$G302="",99999999,$G$2:$G302))=IF($G302="",99999999,$G302))),"")</f>
        <v/>
      </c>
      <c r="O302" s="0" t="str">
        <f aca="false">IF(AND($F302="Not Started",$A302&lt;&gt;""),SUMPRODUCT(($F$2:$F$600="Not Started")*($A$2:$A$600&lt;&gt;"")*((IF($G$2:$G$600="",99999999,$G$2:$G$600))&lt;IF($G302="",99999999,$G302)))+SUMPRODUCT(($F$2:$F302="Not Started")*($A$2:$A302&lt;&gt;"")*((IF($G$2:$G302="",99999999,$G$2:$G302))=IF($G302="",99999999,$G302))),"")</f>
        <v/>
      </c>
      <c r="P302" s="0" t="str">
        <f aca="false">IF(AND(OR($F302="In Progress",$F302="Pending Client Data",$F302="Under Review"),$A302&lt;&gt;""),SUMPRODUCT((($F$2:$F$600="In Progress")+($F$2:$F$600="Pending Client Data")+($F$2:$F$600="Under Review"))*($A$2:$A$600&lt;&gt;"")*((IF($G$2:$G$600="",99999999,$G$2:$G$600))&lt;IF($G302="",99999999,$G302)))+SUMPRODUCT((($F$2:$F302="In Progress")+($F$2:$F302="Pending Client Data")+($F$2:$F302="Under Review"))*($A$2:$A302&lt;&gt;"")*((IF($G$2:$G302="",99999999,$G$2:$G302))=IF($G302="",99999999,$G302))),"")</f>
        <v/>
      </c>
    </row>
    <row r="303" customFormat="false" ht="15" hidden="false" customHeight="false" outlineLevel="0" collapsed="false">
      <c r="A303" s="9"/>
      <c r="B303" s="9"/>
      <c r="C303" s="10" t="str">
        <f aca="false">IF($B303="","",IFERROR(INDEX('Client Master'!$C:$C,MATCH($B303,'Client Master'!$B:$B,0)),"Code not found"))</f>
        <v/>
      </c>
      <c r="D303" s="9"/>
      <c r="E303" s="9"/>
      <c r="F303" s="9"/>
      <c r="G303" s="11"/>
      <c r="H303" s="11"/>
      <c r="I303" s="9"/>
      <c r="J303" s="12"/>
      <c r="K303" s="11"/>
      <c r="L303" s="9"/>
      <c r="N303" s="0" t="str">
        <f aca="false">IF(AND($J303&gt;0,$K303="",$A303&lt;&gt;""),SUMPRODUCT(($J$2:$J$600&gt;0)*($K$2:$K$600="")*($A$2:$A$600&lt;&gt;"")*((IF($G$2:$G$600="",99999999,$G$2:$G$600))&lt;IF($G303="",99999999,$G303)))+SUMPRODUCT(($J$2:$J303&gt;0)*($K$2:$K303="")*($A$2:$A303&lt;&gt;"")*((IF($G$2:$G303="",99999999,$G$2:$G303))=IF($G303="",99999999,$G303))),"")</f>
        <v/>
      </c>
      <c r="O303" s="0" t="str">
        <f aca="false">IF(AND($F303="Not Started",$A303&lt;&gt;""),SUMPRODUCT(($F$2:$F$600="Not Started")*($A$2:$A$600&lt;&gt;"")*((IF($G$2:$G$600="",99999999,$G$2:$G$600))&lt;IF($G303="",99999999,$G303)))+SUMPRODUCT(($F$2:$F303="Not Started")*($A$2:$A303&lt;&gt;"")*((IF($G$2:$G303="",99999999,$G$2:$G303))=IF($G303="",99999999,$G303))),"")</f>
        <v/>
      </c>
      <c r="P303" s="0" t="str">
        <f aca="false">IF(AND(OR($F303="In Progress",$F303="Pending Client Data",$F303="Under Review"),$A303&lt;&gt;""),SUMPRODUCT((($F$2:$F$600="In Progress")+($F$2:$F$600="Pending Client Data")+($F$2:$F$600="Under Review"))*($A$2:$A$600&lt;&gt;"")*((IF($G$2:$G$600="",99999999,$G$2:$G$600))&lt;IF($G303="",99999999,$G303)))+SUMPRODUCT((($F$2:$F303="In Progress")+($F$2:$F303="Pending Client Data")+($F$2:$F303="Under Review"))*($A$2:$A303&lt;&gt;"")*((IF($G$2:$G303="",99999999,$G$2:$G303))=IF($G303="",99999999,$G303))),"")</f>
        <v/>
      </c>
    </row>
    <row r="304" customFormat="false" ht="15" hidden="false" customHeight="false" outlineLevel="0" collapsed="false">
      <c r="A304" s="9"/>
      <c r="B304" s="9"/>
      <c r="C304" s="10" t="str">
        <f aca="false">IF($B304="","",IFERROR(INDEX('Client Master'!$C:$C,MATCH($B304,'Client Master'!$B:$B,0)),"Code not found"))</f>
        <v/>
      </c>
      <c r="D304" s="9"/>
      <c r="E304" s="9"/>
      <c r="F304" s="9"/>
      <c r="G304" s="11"/>
      <c r="H304" s="11"/>
      <c r="I304" s="9"/>
      <c r="J304" s="12"/>
      <c r="K304" s="11"/>
      <c r="L304" s="9"/>
      <c r="N304" s="0" t="str">
        <f aca="false">IF(AND($J304&gt;0,$K304="",$A304&lt;&gt;""),SUMPRODUCT(($J$2:$J$600&gt;0)*($K$2:$K$600="")*($A$2:$A$600&lt;&gt;"")*((IF($G$2:$G$600="",99999999,$G$2:$G$600))&lt;IF($G304="",99999999,$G304)))+SUMPRODUCT(($J$2:$J304&gt;0)*($K$2:$K304="")*($A$2:$A304&lt;&gt;"")*((IF($G$2:$G304="",99999999,$G$2:$G304))=IF($G304="",99999999,$G304))),"")</f>
        <v/>
      </c>
      <c r="O304" s="0" t="str">
        <f aca="false">IF(AND($F304="Not Started",$A304&lt;&gt;""),SUMPRODUCT(($F$2:$F$600="Not Started")*($A$2:$A$600&lt;&gt;"")*((IF($G$2:$G$600="",99999999,$G$2:$G$600))&lt;IF($G304="",99999999,$G304)))+SUMPRODUCT(($F$2:$F304="Not Started")*($A$2:$A304&lt;&gt;"")*((IF($G$2:$G304="",99999999,$G$2:$G304))=IF($G304="",99999999,$G304))),"")</f>
        <v/>
      </c>
      <c r="P304" s="0" t="str">
        <f aca="false">IF(AND(OR($F304="In Progress",$F304="Pending Client Data",$F304="Under Review"),$A304&lt;&gt;""),SUMPRODUCT((($F$2:$F$600="In Progress")+($F$2:$F$600="Pending Client Data")+($F$2:$F$600="Under Review"))*($A$2:$A$600&lt;&gt;"")*((IF($G$2:$G$600="",99999999,$G$2:$G$600))&lt;IF($G304="",99999999,$G304)))+SUMPRODUCT((($F$2:$F304="In Progress")+($F$2:$F304="Pending Client Data")+($F$2:$F304="Under Review"))*($A$2:$A304&lt;&gt;"")*((IF($G$2:$G304="",99999999,$G$2:$G304))=IF($G304="",99999999,$G304))),"")</f>
        <v/>
      </c>
    </row>
    <row r="305" customFormat="false" ht="15" hidden="false" customHeight="false" outlineLevel="0" collapsed="false">
      <c r="A305" s="9"/>
      <c r="B305" s="9"/>
      <c r="C305" s="10" t="str">
        <f aca="false">IF($B305="","",IFERROR(INDEX('Client Master'!$C:$C,MATCH($B305,'Client Master'!$B:$B,0)),"Code not found"))</f>
        <v/>
      </c>
      <c r="D305" s="9"/>
      <c r="E305" s="9"/>
      <c r="F305" s="9"/>
      <c r="G305" s="11"/>
      <c r="H305" s="11"/>
      <c r="I305" s="9"/>
      <c r="J305" s="12"/>
      <c r="K305" s="11"/>
      <c r="L305" s="9"/>
      <c r="N305" s="0" t="str">
        <f aca="false">IF(AND($J305&gt;0,$K305="",$A305&lt;&gt;""),SUMPRODUCT(($J$2:$J$600&gt;0)*($K$2:$K$600="")*($A$2:$A$600&lt;&gt;"")*((IF($G$2:$G$600="",99999999,$G$2:$G$600))&lt;IF($G305="",99999999,$G305)))+SUMPRODUCT(($J$2:$J305&gt;0)*($K$2:$K305="")*($A$2:$A305&lt;&gt;"")*((IF($G$2:$G305="",99999999,$G$2:$G305))=IF($G305="",99999999,$G305))),"")</f>
        <v/>
      </c>
      <c r="O305" s="0" t="str">
        <f aca="false">IF(AND($F305="Not Started",$A305&lt;&gt;""),SUMPRODUCT(($F$2:$F$600="Not Started")*($A$2:$A$600&lt;&gt;"")*((IF($G$2:$G$600="",99999999,$G$2:$G$600))&lt;IF($G305="",99999999,$G305)))+SUMPRODUCT(($F$2:$F305="Not Started")*($A$2:$A305&lt;&gt;"")*((IF($G$2:$G305="",99999999,$G$2:$G305))=IF($G305="",99999999,$G305))),"")</f>
        <v/>
      </c>
      <c r="P305" s="0" t="str">
        <f aca="false">IF(AND(OR($F305="In Progress",$F305="Pending Client Data",$F305="Under Review"),$A305&lt;&gt;""),SUMPRODUCT((($F$2:$F$600="In Progress")+($F$2:$F$600="Pending Client Data")+($F$2:$F$600="Under Review"))*($A$2:$A$600&lt;&gt;"")*((IF($G$2:$G$600="",99999999,$G$2:$G$600))&lt;IF($G305="",99999999,$G305)))+SUMPRODUCT((($F$2:$F305="In Progress")+($F$2:$F305="Pending Client Data")+($F$2:$F305="Under Review"))*($A$2:$A305&lt;&gt;"")*((IF($G$2:$G305="",99999999,$G$2:$G305))=IF($G305="",99999999,$G305))),"")</f>
        <v/>
      </c>
    </row>
    <row r="306" customFormat="false" ht="15" hidden="false" customHeight="false" outlineLevel="0" collapsed="false">
      <c r="A306" s="9"/>
      <c r="B306" s="9"/>
      <c r="C306" s="10" t="str">
        <f aca="false">IF($B306="","",IFERROR(INDEX('Client Master'!$C:$C,MATCH($B306,'Client Master'!$B:$B,0)),"Code not found"))</f>
        <v/>
      </c>
      <c r="D306" s="9"/>
      <c r="E306" s="9"/>
      <c r="F306" s="9"/>
      <c r="G306" s="11"/>
      <c r="H306" s="11"/>
      <c r="I306" s="9"/>
      <c r="J306" s="12"/>
      <c r="K306" s="11"/>
      <c r="L306" s="9"/>
      <c r="N306" s="0" t="str">
        <f aca="false">IF(AND($J306&gt;0,$K306="",$A306&lt;&gt;""),SUMPRODUCT(($J$2:$J$600&gt;0)*($K$2:$K$600="")*($A$2:$A$600&lt;&gt;"")*((IF($G$2:$G$600="",99999999,$G$2:$G$600))&lt;IF($G306="",99999999,$G306)))+SUMPRODUCT(($J$2:$J306&gt;0)*($K$2:$K306="")*($A$2:$A306&lt;&gt;"")*((IF($G$2:$G306="",99999999,$G$2:$G306))=IF($G306="",99999999,$G306))),"")</f>
        <v/>
      </c>
      <c r="O306" s="0" t="str">
        <f aca="false">IF(AND($F306="Not Started",$A306&lt;&gt;""),SUMPRODUCT(($F$2:$F$600="Not Started")*($A$2:$A$600&lt;&gt;"")*((IF($G$2:$G$600="",99999999,$G$2:$G$600))&lt;IF($G306="",99999999,$G306)))+SUMPRODUCT(($F$2:$F306="Not Started")*($A$2:$A306&lt;&gt;"")*((IF($G$2:$G306="",99999999,$G$2:$G306))=IF($G306="",99999999,$G306))),"")</f>
        <v/>
      </c>
      <c r="P306" s="0" t="str">
        <f aca="false">IF(AND(OR($F306="In Progress",$F306="Pending Client Data",$F306="Under Review"),$A306&lt;&gt;""),SUMPRODUCT((($F$2:$F$600="In Progress")+($F$2:$F$600="Pending Client Data")+($F$2:$F$600="Under Review"))*($A$2:$A$600&lt;&gt;"")*((IF($G$2:$G$600="",99999999,$G$2:$G$600))&lt;IF($G306="",99999999,$G306)))+SUMPRODUCT((($F$2:$F306="In Progress")+($F$2:$F306="Pending Client Data")+($F$2:$F306="Under Review"))*($A$2:$A306&lt;&gt;"")*((IF($G$2:$G306="",99999999,$G$2:$G306))=IF($G306="",99999999,$G306))),"")</f>
        <v/>
      </c>
    </row>
    <row r="307" customFormat="false" ht="15" hidden="false" customHeight="false" outlineLevel="0" collapsed="false">
      <c r="A307" s="9"/>
      <c r="B307" s="9"/>
      <c r="C307" s="10" t="str">
        <f aca="false">IF($B307="","",IFERROR(INDEX('Client Master'!$C:$C,MATCH($B307,'Client Master'!$B:$B,0)),"Code not found"))</f>
        <v/>
      </c>
      <c r="D307" s="9"/>
      <c r="E307" s="9"/>
      <c r="F307" s="9"/>
      <c r="G307" s="11"/>
      <c r="H307" s="11"/>
      <c r="I307" s="9"/>
      <c r="J307" s="12"/>
      <c r="K307" s="11"/>
      <c r="L307" s="9"/>
      <c r="N307" s="0" t="str">
        <f aca="false">IF(AND($J307&gt;0,$K307="",$A307&lt;&gt;""),SUMPRODUCT(($J$2:$J$600&gt;0)*($K$2:$K$600="")*($A$2:$A$600&lt;&gt;"")*((IF($G$2:$G$600="",99999999,$G$2:$G$600))&lt;IF($G307="",99999999,$G307)))+SUMPRODUCT(($J$2:$J307&gt;0)*($K$2:$K307="")*($A$2:$A307&lt;&gt;"")*((IF($G$2:$G307="",99999999,$G$2:$G307))=IF($G307="",99999999,$G307))),"")</f>
        <v/>
      </c>
      <c r="O307" s="0" t="str">
        <f aca="false">IF(AND($F307="Not Started",$A307&lt;&gt;""),SUMPRODUCT(($F$2:$F$600="Not Started")*($A$2:$A$600&lt;&gt;"")*((IF($G$2:$G$600="",99999999,$G$2:$G$600))&lt;IF($G307="",99999999,$G307)))+SUMPRODUCT(($F$2:$F307="Not Started")*($A$2:$A307&lt;&gt;"")*((IF($G$2:$G307="",99999999,$G$2:$G307))=IF($G307="",99999999,$G307))),"")</f>
        <v/>
      </c>
      <c r="P307" s="0" t="str">
        <f aca="false">IF(AND(OR($F307="In Progress",$F307="Pending Client Data",$F307="Under Review"),$A307&lt;&gt;""),SUMPRODUCT((($F$2:$F$600="In Progress")+($F$2:$F$600="Pending Client Data")+($F$2:$F$600="Under Review"))*($A$2:$A$600&lt;&gt;"")*((IF($G$2:$G$600="",99999999,$G$2:$G$600))&lt;IF($G307="",99999999,$G307)))+SUMPRODUCT((($F$2:$F307="In Progress")+($F$2:$F307="Pending Client Data")+($F$2:$F307="Under Review"))*($A$2:$A307&lt;&gt;"")*((IF($G$2:$G307="",99999999,$G$2:$G307))=IF($G307="",99999999,$G307))),"")</f>
        <v/>
      </c>
    </row>
    <row r="308" customFormat="false" ht="15" hidden="false" customHeight="false" outlineLevel="0" collapsed="false">
      <c r="A308" s="9"/>
      <c r="B308" s="9"/>
      <c r="C308" s="10" t="str">
        <f aca="false">IF($B308="","",IFERROR(INDEX('Client Master'!$C:$C,MATCH($B308,'Client Master'!$B:$B,0)),"Code not found"))</f>
        <v/>
      </c>
      <c r="D308" s="9"/>
      <c r="E308" s="9"/>
      <c r="F308" s="9"/>
      <c r="G308" s="11"/>
      <c r="H308" s="11"/>
      <c r="I308" s="9"/>
      <c r="J308" s="12"/>
      <c r="K308" s="11"/>
      <c r="L308" s="9"/>
      <c r="N308" s="0" t="str">
        <f aca="false">IF(AND($J308&gt;0,$K308="",$A308&lt;&gt;""),SUMPRODUCT(($J$2:$J$600&gt;0)*($K$2:$K$600="")*($A$2:$A$600&lt;&gt;"")*((IF($G$2:$G$600="",99999999,$G$2:$G$600))&lt;IF($G308="",99999999,$G308)))+SUMPRODUCT(($J$2:$J308&gt;0)*($K$2:$K308="")*($A$2:$A308&lt;&gt;"")*((IF($G$2:$G308="",99999999,$G$2:$G308))=IF($G308="",99999999,$G308))),"")</f>
        <v/>
      </c>
      <c r="O308" s="0" t="str">
        <f aca="false">IF(AND($F308="Not Started",$A308&lt;&gt;""),SUMPRODUCT(($F$2:$F$600="Not Started")*($A$2:$A$600&lt;&gt;"")*((IF($G$2:$G$600="",99999999,$G$2:$G$600))&lt;IF($G308="",99999999,$G308)))+SUMPRODUCT(($F$2:$F308="Not Started")*($A$2:$A308&lt;&gt;"")*((IF($G$2:$G308="",99999999,$G$2:$G308))=IF($G308="",99999999,$G308))),"")</f>
        <v/>
      </c>
      <c r="P308" s="0" t="str">
        <f aca="false">IF(AND(OR($F308="In Progress",$F308="Pending Client Data",$F308="Under Review"),$A308&lt;&gt;""),SUMPRODUCT((($F$2:$F$600="In Progress")+($F$2:$F$600="Pending Client Data")+($F$2:$F$600="Under Review"))*($A$2:$A$600&lt;&gt;"")*((IF($G$2:$G$600="",99999999,$G$2:$G$600))&lt;IF($G308="",99999999,$G308)))+SUMPRODUCT((($F$2:$F308="In Progress")+($F$2:$F308="Pending Client Data")+($F$2:$F308="Under Review"))*($A$2:$A308&lt;&gt;"")*((IF($G$2:$G308="",99999999,$G$2:$G308))=IF($G308="",99999999,$G308))),"")</f>
        <v/>
      </c>
    </row>
    <row r="309" customFormat="false" ht="15" hidden="false" customHeight="false" outlineLevel="0" collapsed="false">
      <c r="A309" s="9"/>
      <c r="B309" s="9"/>
      <c r="C309" s="10" t="str">
        <f aca="false">IF($B309="","",IFERROR(INDEX('Client Master'!$C:$C,MATCH($B309,'Client Master'!$B:$B,0)),"Code not found"))</f>
        <v/>
      </c>
      <c r="D309" s="9"/>
      <c r="E309" s="9"/>
      <c r="F309" s="9"/>
      <c r="G309" s="11"/>
      <c r="H309" s="11"/>
      <c r="I309" s="9"/>
      <c r="J309" s="12"/>
      <c r="K309" s="11"/>
      <c r="L309" s="9"/>
      <c r="N309" s="0" t="str">
        <f aca="false">IF(AND($J309&gt;0,$K309="",$A309&lt;&gt;""),SUMPRODUCT(($J$2:$J$600&gt;0)*($K$2:$K$600="")*($A$2:$A$600&lt;&gt;"")*((IF($G$2:$G$600="",99999999,$G$2:$G$600))&lt;IF($G309="",99999999,$G309)))+SUMPRODUCT(($J$2:$J309&gt;0)*($K$2:$K309="")*($A$2:$A309&lt;&gt;"")*((IF($G$2:$G309="",99999999,$G$2:$G309))=IF($G309="",99999999,$G309))),"")</f>
        <v/>
      </c>
      <c r="O309" s="0" t="str">
        <f aca="false">IF(AND($F309="Not Started",$A309&lt;&gt;""),SUMPRODUCT(($F$2:$F$600="Not Started")*($A$2:$A$600&lt;&gt;"")*((IF($G$2:$G$600="",99999999,$G$2:$G$600))&lt;IF($G309="",99999999,$G309)))+SUMPRODUCT(($F$2:$F309="Not Started")*($A$2:$A309&lt;&gt;"")*((IF($G$2:$G309="",99999999,$G$2:$G309))=IF($G309="",99999999,$G309))),"")</f>
        <v/>
      </c>
      <c r="P309" s="0" t="str">
        <f aca="false">IF(AND(OR($F309="In Progress",$F309="Pending Client Data",$F309="Under Review"),$A309&lt;&gt;""),SUMPRODUCT((($F$2:$F$600="In Progress")+($F$2:$F$600="Pending Client Data")+($F$2:$F$600="Under Review"))*($A$2:$A$600&lt;&gt;"")*((IF($G$2:$G$600="",99999999,$G$2:$G$600))&lt;IF($G309="",99999999,$G309)))+SUMPRODUCT((($F$2:$F309="In Progress")+($F$2:$F309="Pending Client Data")+($F$2:$F309="Under Review"))*($A$2:$A309&lt;&gt;"")*((IF($G$2:$G309="",99999999,$G$2:$G309))=IF($G309="",99999999,$G309))),"")</f>
        <v/>
      </c>
    </row>
    <row r="310" customFormat="false" ht="15" hidden="false" customHeight="false" outlineLevel="0" collapsed="false">
      <c r="A310" s="9"/>
      <c r="B310" s="9"/>
      <c r="C310" s="10" t="str">
        <f aca="false">IF($B310="","",IFERROR(INDEX('Client Master'!$C:$C,MATCH($B310,'Client Master'!$B:$B,0)),"Code not found"))</f>
        <v/>
      </c>
      <c r="D310" s="9"/>
      <c r="E310" s="9"/>
      <c r="F310" s="9"/>
      <c r="G310" s="11"/>
      <c r="H310" s="11"/>
      <c r="I310" s="9"/>
      <c r="J310" s="12"/>
      <c r="K310" s="11"/>
      <c r="L310" s="9"/>
      <c r="N310" s="0" t="str">
        <f aca="false">IF(AND($J310&gt;0,$K310="",$A310&lt;&gt;""),SUMPRODUCT(($J$2:$J$600&gt;0)*($K$2:$K$600="")*($A$2:$A$600&lt;&gt;"")*((IF($G$2:$G$600="",99999999,$G$2:$G$600))&lt;IF($G310="",99999999,$G310)))+SUMPRODUCT(($J$2:$J310&gt;0)*($K$2:$K310="")*($A$2:$A310&lt;&gt;"")*((IF($G$2:$G310="",99999999,$G$2:$G310))=IF($G310="",99999999,$G310))),"")</f>
        <v/>
      </c>
      <c r="O310" s="0" t="str">
        <f aca="false">IF(AND($F310="Not Started",$A310&lt;&gt;""),SUMPRODUCT(($F$2:$F$600="Not Started")*($A$2:$A$600&lt;&gt;"")*((IF($G$2:$G$600="",99999999,$G$2:$G$600))&lt;IF($G310="",99999999,$G310)))+SUMPRODUCT(($F$2:$F310="Not Started")*($A$2:$A310&lt;&gt;"")*((IF($G$2:$G310="",99999999,$G$2:$G310))=IF($G310="",99999999,$G310))),"")</f>
        <v/>
      </c>
      <c r="P310" s="0" t="str">
        <f aca="false">IF(AND(OR($F310="In Progress",$F310="Pending Client Data",$F310="Under Review"),$A310&lt;&gt;""),SUMPRODUCT((($F$2:$F$600="In Progress")+($F$2:$F$600="Pending Client Data")+($F$2:$F$600="Under Review"))*($A$2:$A$600&lt;&gt;"")*((IF($G$2:$G$600="",99999999,$G$2:$G$600))&lt;IF($G310="",99999999,$G310)))+SUMPRODUCT((($F$2:$F310="In Progress")+($F$2:$F310="Pending Client Data")+($F$2:$F310="Under Review"))*($A$2:$A310&lt;&gt;"")*((IF($G$2:$G310="",99999999,$G$2:$G310))=IF($G310="",99999999,$G310))),"")</f>
        <v/>
      </c>
    </row>
    <row r="311" customFormat="false" ht="15" hidden="false" customHeight="false" outlineLevel="0" collapsed="false">
      <c r="A311" s="9"/>
      <c r="B311" s="9"/>
      <c r="C311" s="10" t="str">
        <f aca="false">IF($B311="","",IFERROR(INDEX('Client Master'!$C:$C,MATCH($B311,'Client Master'!$B:$B,0)),"Code not found"))</f>
        <v/>
      </c>
      <c r="D311" s="9"/>
      <c r="E311" s="9"/>
      <c r="F311" s="9"/>
      <c r="G311" s="11"/>
      <c r="H311" s="11"/>
      <c r="I311" s="9"/>
      <c r="J311" s="12"/>
      <c r="K311" s="11"/>
      <c r="L311" s="9"/>
      <c r="N311" s="0" t="str">
        <f aca="false">IF(AND($J311&gt;0,$K311="",$A311&lt;&gt;""),SUMPRODUCT(($J$2:$J$600&gt;0)*($K$2:$K$600="")*($A$2:$A$600&lt;&gt;"")*((IF($G$2:$G$600="",99999999,$G$2:$G$600))&lt;IF($G311="",99999999,$G311)))+SUMPRODUCT(($J$2:$J311&gt;0)*($K$2:$K311="")*($A$2:$A311&lt;&gt;"")*((IF($G$2:$G311="",99999999,$G$2:$G311))=IF($G311="",99999999,$G311))),"")</f>
        <v/>
      </c>
      <c r="O311" s="0" t="str">
        <f aca="false">IF(AND($F311="Not Started",$A311&lt;&gt;""),SUMPRODUCT(($F$2:$F$600="Not Started")*($A$2:$A$600&lt;&gt;"")*((IF($G$2:$G$600="",99999999,$G$2:$G$600))&lt;IF($G311="",99999999,$G311)))+SUMPRODUCT(($F$2:$F311="Not Started")*($A$2:$A311&lt;&gt;"")*((IF($G$2:$G311="",99999999,$G$2:$G311))=IF($G311="",99999999,$G311))),"")</f>
        <v/>
      </c>
      <c r="P311" s="0" t="str">
        <f aca="false">IF(AND(OR($F311="In Progress",$F311="Pending Client Data",$F311="Under Review"),$A311&lt;&gt;""),SUMPRODUCT((($F$2:$F$600="In Progress")+($F$2:$F$600="Pending Client Data")+($F$2:$F$600="Under Review"))*($A$2:$A$600&lt;&gt;"")*((IF($G$2:$G$600="",99999999,$G$2:$G$600))&lt;IF($G311="",99999999,$G311)))+SUMPRODUCT((($F$2:$F311="In Progress")+($F$2:$F311="Pending Client Data")+($F$2:$F311="Under Review"))*($A$2:$A311&lt;&gt;"")*((IF($G$2:$G311="",99999999,$G$2:$G311))=IF($G311="",99999999,$G311))),"")</f>
        <v/>
      </c>
    </row>
    <row r="312" customFormat="false" ht="15" hidden="false" customHeight="false" outlineLevel="0" collapsed="false">
      <c r="A312" s="9"/>
      <c r="B312" s="9"/>
      <c r="C312" s="10" t="str">
        <f aca="false">IF($B312="","",IFERROR(INDEX('Client Master'!$C:$C,MATCH($B312,'Client Master'!$B:$B,0)),"Code not found"))</f>
        <v/>
      </c>
      <c r="D312" s="9"/>
      <c r="E312" s="9"/>
      <c r="F312" s="9"/>
      <c r="G312" s="11"/>
      <c r="H312" s="11"/>
      <c r="I312" s="9"/>
      <c r="J312" s="12"/>
      <c r="K312" s="11"/>
      <c r="L312" s="9"/>
      <c r="N312" s="0" t="str">
        <f aca="false">IF(AND($J312&gt;0,$K312="",$A312&lt;&gt;""),SUMPRODUCT(($J$2:$J$600&gt;0)*($K$2:$K$600="")*($A$2:$A$600&lt;&gt;"")*((IF($G$2:$G$600="",99999999,$G$2:$G$600))&lt;IF($G312="",99999999,$G312)))+SUMPRODUCT(($J$2:$J312&gt;0)*($K$2:$K312="")*($A$2:$A312&lt;&gt;"")*((IF($G$2:$G312="",99999999,$G$2:$G312))=IF($G312="",99999999,$G312))),"")</f>
        <v/>
      </c>
      <c r="O312" s="0" t="str">
        <f aca="false">IF(AND($F312="Not Started",$A312&lt;&gt;""),SUMPRODUCT(($F$2:$F$600="Not Started")*($A$2:$A$600&lt;&gt;"")*((IF($G$2:$G$600="",99999999,$G$2:$G$600))&lt;IF($G312="",99999999,$G312)))+SUMPRODUCT(($F$2:$F312="Not Started")*($A$2:$A312&lt;&gt;"")*((IF($G$2:$G312="",99999999,$G$2:$G312))=IF($G312="",99999999,$G312))),"")</f>
        <v/>
      </c>
      <c r="P312" s="0" t="str">
        <f aca="false">IF(AND(OR($F312="In Progress",$F312="Pending Client Data",$F312="Under Review"),$A312&lt;&gt;""),SUMPRODUCT((($F$2:$F$600="In Progress")+($F$2:$F$600="Pending Client Data")+($F$2:$F$600="Under Review"))*($A$2:$A$600&lt;&gt;"")*((IF($G$2:$G$600="",99999999,$G$2:$G$600))&lt;IF($G312="",99999999,$G312)))+SUMPRODUCT((($F$2:$F312="In Progress")+($F$2:$F312="Pending Client Data")+($F$2:$F312="Under Review"))*($A$2:$A312&lt;&gt;"")*((IF($G$2:$G312="",99999999,$G$2:$G312))=IF($G312="",99999999,$G312))),"")</f>
        <v/>
      </c>
    </row>
    <row r="313" customFormat="false" ht="15" hidden="false" customHeight="false" outlineLevel="0" collapsed="false">
      <c r="A313" s="9"/>
      <c r="B313" s="9"/>
      <c r="C313" s="10" t="str">
        <f aca="false">IF($B313="","",IFERROR(INDEX('Client Master'!$C:$C,MATCH($B313,'Client Master'!$B:$B,0)),"Code not found"))</f>
        <v/>
      </c>
      <c r="D313" s="9"/>
      <c r="E313" s="9"/>
      <c r="F313" s="9"/>
      <c r="G313" s="11"/>
      <c r="H313" s="11"/>
      <c r="I313" s="9"/>
      <c r="J313" s="12"/>
      <c r="K313" s="11"/>
      <c r="L313" s="9"/>
      <c r="N313" s="0" t="str">
        <f aca="false">IF(AND($J313&gt;0,$K313="",$A313&lt;&gt;""),SUMPRODUCT(($J$2:$J$600&gt;0)*($K$2:$K$600="")*($A$2:$A$600&lt;&gt;"")*((IF($G$2:$G$600="",99999999,$G$2:$G$600))&lt;IF($G313="",99999999,$G313)))+SUMPRODUCT(($J$2:$J313&gt;0)*($K$2:$K313="")*($A$2:$A313&lt;&gt;"")*((IF($G$2:$G313="",99999999,$G$2:$G313))=IF($G313="",99999999,$G313))),"")</f>
        <v/>
      </c>
      <c r="O313" s="0" t="str">
        <f aca="false">IF(AND($F313="Not Started",$A313&lt;&gt;""),SUMPRODUCT(($F$2:$F$600="Not Started")*($A$2:$A$600&lt;&gt;"")*((IF($G$2:$G$600="",99999999,$G$2:$G$600))&lt;IF($G313="",99999999,$G313)))+SUMPRODUCT(($F$2:$F313="Not Started")*($A$2:$A313&lt;&gt;"")*((IF($G$2:$G313="",99999999,$G$2:$G313))=IF($G313="",99999999,$G313))),"")</f>
        <v/>
      </c>
      <c r="P313" s="0" t="str">
        <f aca="false">IF(AND(OR($F313="In Progress",$F313="Pending Client Data",$F313="Under Review"),$A313&lt;&gt;""),SUMPRODUCT((($F$2:$F$600="In Progress")+($F$2:$F$600="Pending Client Data")+($F$2:$F$600="Under Review"))*($A$2:$A$600&lt;&gt;"")*((IF($G$2:$G$600="",99999999,$G$2:$G$600))&lt;IF($G313="",99999999,$G313)))+SUMPRODUCT((($F$2:$F313="In Progress")+($F$2:$F313="Pending Client Data")+($F$2:$F313="Under Review"))*($A$2:$A313&lt;&gt;"")*((IF($G$2:$G313="",99999999,$G$2:$G313))=IF($G313="",99999999,$G313))),"")</f>
        <v/>
      </c>
    </row>
    <row r="314" customFormat="false" ht="15" hidden="false" customHeight="false" outlineLevel="0" collapsed="false">
      <c r="A314" s="9"/>
      <c r="B314" s="9"/>
      <c r="C314" s="10" t="str">
        <f aca="false">IF($B314="","",IFERROR(INDEX('Client Master'!$C:$C,MATCH($B314,'Client Master'!$B:$B,0)),"Code not found"))</f>
        <v/>
      </c>
      <c r="D314" s="9"/>
      <c r="E314" s="9"/>
      <c r="F314" s="9"/>
      <c r="G314" s="11"/>
      <c r="H314" s="11"/>
      <c r="I314" s="9"/>
      <c r="J314" s="12"/>
      <c r="K314" s="11"/>
      <c r="L314" s="9"/>
      <c r="N314" s="0" t="str">
        <f aca="false">IF(AND($J314&gt;0,$K314="",$A314&lt;&gt;""),SUMPRODUCT(($J$2:$J$600&gt;0)*($K$2:$K$600="")*($A$2:$A$600&lt;&gt;"")*((IF($G$2:$G$600="",99999999,$G$2:$G$600))&lt;IF($G314="",99999999,$G314)))+SUMPRODUCT(($J$2:$J314&gt;0)*($K$2:$K314="")*($A$2:$A314&lt;&gt;"")*((IF($G$2:$G314="",99999999,$G$2:$G314))=IF($G314="",99999999,$G314))),"")</f>
        <v/>
      </c>
      <c r="O314" s="0" t="str">
        <f aca="false">IF(AND($F314="Not Started",$A314&lt;&gt;""),SUMPRODUCT(($F$2:$F$600="Not Started")*($A$2:$A$600&lt;&gt;"")*((IF($G$2:$G$600="",99999999,$G$2:$G$600))&lt;IF($G314="",99999999,$G314)))+SUMPRODUCT(($F$2:$F314="Not Started")*($A$2:$A314&lt;&gt;"")*((IF($G$2:$G314="",99999999,$G$2:$G314))=IF($G314="",99999999,$G314))),"")</f>
        <v/>
      </c>
      <c r="P314" s="0" t="str">
        <f aca="false">IF(AND(OR($F314="In Progress",$F314="Pending Client Data",$F314="Under Review"),$A314&lt;&gt;""),SUMPRODUCT((($F$2:$F$600="In Progress")+($F$2:$F$600="Pending Client Data")+($F$2:$F$600="Under Review"))*($A$2:$A$600&lt;&gt;"")*((IF($G$2:$G$600="",99999999,$G$2:$G$600))&lt;IF($G314="",99999999,$G314)))+SUMPRODUCT((($F$2:$F314="In Progress")+($F$2:$F314="Pending Client Data")+($F$2:$F314="Under Review"))*($A$2:$A314&lt;&gt;"")*((IF($G$2:$G314="",99999999,$G$2:$G314))=IF($G314="",99999999,$G314))),"")</f>
        <v/>
      </c>
    </row>
    <row r="315" customFormat="false" ht="15" hidden="false" customHeight="false" outlineLevel="0" collapsed="false">
      <c r="A315" s="9"/>
      <c r="B315" s="9"/>
      <c r="C315" s="10" t="str">
        <f aca="false">IF($B315="","",IFERROR(INDEX('Client Master'!$C:$C,MATCH($B315,'Client Master'!$B:$B,0)),"Code not found"))</f>
        <v/>
      </c>
      <c r="D315" s="9"/>
      <c r="E315" s="9"/>
      <c r="F315" s="9"/>
      <c r="G315" s="11"/>
      <c r="H315" s="11"/>
      <c r="I315" s="9"/>
      <c r="J315" s="12"/>
      <c r="K315" s="11"/>
      <c r="L315" s="9"/>
      <c r="N315" s="0" t="str">
        <f aca="false">IF(AND($J315&gt;0,$K315="",$A315&lt;&gt;""),SUMPRODUCT(($J$2:$J$600&gt;0)*($K$2:$K$600="")*($A$2:$A$600&lt;&gt;"")*((IF($G$2:$G$600="",99999999,$G$2:$G$600))&lt;IF($G315="",99999999,$G315)))+SUMPRODUCT(($J$2:$J315&gt;0)*($K$2:$K315="")*($A$2:$A315&lt;&gt;"")*((IF($G$2:$G315="",99999999,$G$2:$G315))=IF($G315="",99999999,$G315))),"")</f>
        <v/>
      </c>
      <c r="O315" s="0" t="str">
        <f aca="false">IF(AND($F315="Not Started",$A315&lt;&gt;""),SUMPRODUCT(($F$2:$F$600="Not Started")*($A$2:$A$600&lt;&gt;"")*((IF($G$2:$G$600="",99999999,$G$2:$G$600))&lt;IF($G315="",99999999,$G315)))+SUMPRODUCT(($F$2:$F315="Not Started")*($A$2:$A315&lt;&gt;"")*((IF($G$2:$G315="",99999999,$G$2:$G315))=IF($G315="",99999999,$G315))),"")</f>
        <v/>
      </c>
      <c r="P315" s="0" t="str">
        <f aca="false">IF(AND(OR($F315="In Progress",$F315="Pending Client Data",$F315="Under Review"),$A315&lt;&gt;""),SUMPRODUCT((($F$2:$F$600="In Progress")+($F$2:$F$600="Pending Client Data")+($F$2:$F$600="Under Review"))*($A$2:$A$600&lt;&gt;"")*((IF($G$2:$G$600="",99999999,$G$2:$G$600))&lt;IF($G315="",99999999,$G315)))+SUMPRODUCT((($F$2:$F315="In Progress")+($F$2:$F315="Pending Client Data")+($F$2:$F315="Under Review"))*($A$2:$A315&lt;&gt;"")*((IF($G$2:$G315="",99999999,$G$2:$G315))=IF($G315="",99999999,$G315))),"")</f>
        <v/>
      </c>
    </row>
    <row r="316" customFormat="false" ht="15" hidden="false" customHeight="false" outlineLevel="0" collapsed="false">
      <c r="A316" s="9"/>
      <c r="B316" s="9"/>
      <c r="C316" s="10" t="str">
        <f aca="false">IF($B316="","",IFERROR(INDEX('Client Master'!$C:$C,MATCH($B316,'Client Master'!$B:$B,0)),"Code not found"))</f>
        <v/>
      </c>
      <c r="D316" s="9"/>
      <c r="E316" s="9"/>
      <c r="F316" s="9"/>
      <c r="G316" s="11"/>
      <c r="H316" s="11"/>
      <c r="I316" s="9"/>
      <c r="J316" s="12"/>
      <c r="K316" s="11"/>
      <c r="L316" s="9"/>
      <c r="N316" s="0" t="str">
        <f aca="false">IF(AND($J316&gt;0,$K316="",$A316&lt;&gt;""),SUMPRODUCT(($J$2:$J$600&gt;0)*($K$2:$K$600="")*($A$2:$A$600&lt;&gt;"")*((IF($G$2:$G$600="",99999999,$G$2:$G$600))&lt;IF($G316="",99999999,$G316)))+SUMPRODUCT(($J$2:$J316&gt;0)*($K$2:$K316="")*($A$2:$A316&lt;&gt;"")*((IF($G$2:$G316="",99999999,$G$2:$G316))=IF($G316="",99999999,$G316))),"")</f>
        <v/>
      </c>
      <c r="O316" s="0" t="str">
        <f aca="false">IF(AND($F316="Not Started",$A316&lt;&gt;""),SUMPRODUCT(($F$2:$F$600="Not Started")*($A$2:$A$600&lt;&gt;"")*((IF($G$2:$G$600="",99999999,$G$2:$G$600))&lt;IF($G316="",99999999,$G316)))+SUMPRODUCT(($F$2:$F316="Not Started")*($A$2:$A316&lt;&gt;"")*((IF($G$2:$G316="",99999999,$G$2:$G316))=IF($G316="",99999999,$G316))),"")</f>
        <v/>
      </c>
      <c r="P316" s="0" t="str">
        <f aca="false">IF(AND(OR($F316="In Progress",$F316="Pending Client Data",$F316="Under Review"),$A316&lt;&gt;""),SUMPRODUCT((($F$2:$F$600="In Progress")+($F$2:$F$600="Pending Client Data")+($F$2:$F$600="Under Review"))*($A$2:$A$600&lt;&gt;"")*((IF($G$2:$G$600="",99999999,$G$2:$G$600))&lt;IF($G316="",99999999,$G316)))+SUMPRODUCT((($F$2:$F316="In Progress")+($F$2:$F316="Pending Client Data")+($F$2:$F316="Under Review"))*($A$2:$A316&lt;&gt;"")*((IF($G$2:$G316="",99999999,$G$2:$G316))=IF($G316="",99999999,$G316))),"")</f>
        <v/>
      </c>
    </row>
    <row r="317" customFormat="false" ht="15" hidden="false" customHeight="false" outlineLevel="0" collapsed="false">
      <c r="A317" s="9"/>
      <c r="B317" s="9"/>
      <c r="C317" s="10" t="str">
        <f aca="false">IF($B317="","",IFERROR(INDEX('Client Master'!$C:$C,MATCH($B317,'Client Master'!$B:$B,0)),"Code not found"))</f>
        <v/>
      </c>
      <c r="D317" s="9"/>
      <c r="E317" s="9"/>
      <c r="F317" s="9"/>
      <c r="G317" s="11"/>
      <c r="H317" s="11"/>
      <c r="I317" s="9"/>
      <c r="J317" s="12"/>
      <c r="K317" s="11"/>
      <c r="L317" s="9"/>
      <c r="N317" s="0" t="str">
        <f aca="false">IF(AND($J317&gt;0,$K317="",$A317&lt;&gt;""),SUMPRODUCT(($J$2:$J$600&gt;0)*($K$2:$K$600="")*($A$2:$A$600&lt;&gt;"")*((IF($G$2:$G$600="",99999999,$G$2:$G$600))&lt;IF($G317="",99999999,$G317)))+SUMPRODUCT(($J$2:$J317&gt;0)*($K$2:$K317="")*($A$2:$A317&lt;&gt;"")*((IF($G$2:$G317="",99999999,$G$2:$G317))=IF($G317="",99999999,$G317))),"")</f>
        <v/>
      </c>
      <c r="O317" s="0" t="str">
        <f aca="false">IF(AND($F317="Not Started",$A317&lt;&gt;""),SUMPRODUCT(($F$2:$F$600="Not Started")*($A$2:$A$600&lt;&gt;"")*((IF($G$2:$G$600="",99999999,$G$2:$G$600))&lt;IF($G317="",99999999,$G317)))+SUMPRODUCT(($F$2:$F317="Not Started")*($A$2:$A317&lt;&gt;"")*((IF($G$2:$G317="",99999999,$G$2:$G317))=IF($G317="",99999999,$G317))),"")</f>
        <v/>
      </c>
      <c r="P317" s="0" t="str">
        <f aca="false">IF(AND(OR($F317="In Progress",$F317="Pending Client Data",$F317="Under Review"),$A317&lt;&gt;""),SUMPRODUCT((($F$2:$F$600="In Progress")+($F$2:$F$600="Pending Client Data")+($F$2:$F$600="Under Review"))*($A$2:$A$600&lt;&gt;"")*((IF($G$2:$G$600="",99999999,$G$2:$G$600))&lt;IF($G317="",99999999,$G317)))+SUMPRODUCT((($F$2:$F317="In Progress")+($F$2:$F317="Pending Client Data")+($F$2:$F317="Under Review"))*($A$2:$A317&lt;&gt;"")*((IF($G$2:$G317="",99999999,$G$2:$G317))=IF($G317="",99999999,$G317))),"")</f>
        <v/>
      </c>
    </row>
    <row r="318" customFormat="false" ht="15" hidden="false" customHeight="false" outlineLevel="0" collapsed="false">
      <c r="A318" s="9"/>
      <c r="B318" s="9"/>
      <c r="C318" s="10" t="str">
        <f aca="false">IF($B318="","",IFERROR(INDEX('Client Master'!$C:$C,MATCH($B318,'Client Master'!$B:$B,0)),"Code not found"))</f>
        <v/>
      </c>
      <c r="D318" s="9"/>
      <c r="E318" s="9"/>
      <c r="F318" s="9"/>
      <c r="G318" s="11"/>
      <c r="H318" s="11"/>
      <c r="I318" s="9"/>
      <c r="J318" s="12"/>
      <c r="K318" s="11"/>
      <c r="L318" s="9"/>
      <c r="N318" s="0" t="str">
        <f aca="false">IF(AND($J318&gt;0,$K318="",$A318&lt;&gt;""),SUMPRODUCT(($J$2:$J$600&gt;0)*($K$2:$K$600="")*($A$2:$A$600&lt;&gt;"")*((IF($G$2:$G$600="",99999999,$G$2:$G$600))&lt;IF($G318="",99999999,$G318)))+SUMPRODUCT(($J$2:$J318&gt;0)*($K$2:$K318="")*($A$2:$A318&lt;&gt;"")*((IF($G$2:$G318="",99999999,$G$2:$G318))=IF($G318="",99999999,$G318))),"")</f>
        <v/>
      </c>
      <c r="O318" s="0" t="str">
        <f aca="false">IF(AND($F318="Not Started",$A318&lt;&gt;""),SUMPRODUCT(($F$2:$F$600="Not Started")*($A$2:$A$600&lt;&gt;"")*((IF($G$2:$G$600="",99999999,$G$2:$G$600))&lt;IF($G318="",99999999,$G318)))+SUMPRODUCT(($F$2:$F318="Not Started")*($A$2:$A318&lt;&gt;"")*((IF($G$2:$G318="",99999999,$G$2:$G318))=IF($G318="",99999999,$G318))),"")</f>
        <v/>
      </c>
      <c r="P318" s="0" t="str">
        <f aca="false">IF(AND(OR($F318="In Progress",$F318="Pending Client Data",$F318="Under Review"),$A318&lt;&gt;""),SUMPRODUCT((($F$2:$F$600="In Progress")+($F$2:$F$600="Pending Client Data")+($F$2:$F$600="Under Review"))*($A$2:$A$600&lt;&gt;"")*((IF($G$2:$G$600="",99999999,$G$2:$G$600))&lt;IF($G318="",99999999,$G318)))+SUMPRODUCT((($F$2:$F318="In Progress")+($F$2:$F318="Pending Client Data")+($F$2:$F318="Under Review"))*($A$2:$A318&lt;&gt;"")*((IF($G$2:$G318="",99999999,$G$2:$G318))=IF($G318="",99999999,$G318))),"")</f>
        <v/>
      </c>
    </row>
    <row r="319" customFormat="false" ht="15" hidden="false" customHeight="false" outlineLevel="0" collapsed="false">
      <c r="A319" s="9"/>
      <c r="B319" s="9"/>
      <c r="C319" s="10" t="str">
        <f aca="false">IF($B319="","",IFERROR(INDEX('Client Master'!$C:$C,MATCH($B319,'Client Master'!$B:$B,0)),"Code not found"))</f>
        <v/>
      </c>
      <c r="D319" s="9"/>
      <c r="E319" s="9"/>
      <c r="F319" s="9"/>
      <c r="G319" s="11"/>
      <c r="H319" s="11"/>
      <c r="I319" s="9"/>
      <c r="J319" s="12"/>
      <c r="K319" s="11"/>
      <c r="L319" s="9"/>
      <c r="N319" s="0" t="str">
        <f aca="false">IF(AND($J319&gt;0,$K319="",$A319&lt;&gt;""),SUMPRODUCT(($J$2:$J$600&gt;0)*($K$2:$K$600="")*($A$2:$A$600&lt;&gt;"")*((IF($G$2:$G$600="",99999999,$G$2:$G$600))&lt;IF($G319="",99999999,$G319)))+SUMPRODUCT(($J$2:$J319&gt;0)*($K$2:$K319="")*($A$2:$A319&lt;&gt;"")*((IF($G$2:$G319="",99999999,$G$2:$G319))=IF($G319="",99999999,$G319))),"")</f>
        <v/>
      </c>
      <c r="O319" s="0" t="str">
        <f aca="false">IF(AND($F319="Not Started",$A319&lt;&gt;""),SUMPRODUCT(($F$2:$F$600="Not Started")*($A$2:$A$600&lt;&gt;"")*((IF($G$2:$G$600="",99999999,$G$2:$G$600))&lt;IF($G319="",99999999,$G319)))+SUMPRODUCT(($F$2:$F319="Not Started")*($A$2:$A319&lt;&gt;"")*((IF($G$2:$G319="",99999999,$G$2:$G319))=IF($G319="",99999999,$G319))),"")</f>
        <v/>
      </c>
      <c r="P319" s="0" t="str">
        <f aca="false">IF(AND(OR($F319="In Progress",$F319="Pending Client Data",$F319="Under Review"),$A319&lt;&gt;""),SUMPRODUCT((($F$2:$F$600="In Progress")+($F$2:$F$600="Pending Client Data")+($F$2:$F$600="Under Review"))*($A$2:$A$600&lt;&gt;"")*((IF($G$2:$G$600="",99999999,$G$2:$G$600))&lt;IF($G319="",99999999,$G319)))+SUMPRODUCT((($F$2:$F319="In Progress")+($F$2:$F319="Pending Client Data")+($F$2:$F319="Under Review"))*($A$2:$A319&lt;&gt;"")*((IF($G$2:$G319="",99999999,$G$2:$G319))=IF($G319="",99999999,$G319))),"")</f>
        <v/>
      </c>
    </row>
    <row r="320" customFormat="false" ht="15" hidden="false" customHeight="false" outlineLevel="0" collapsed="false">
      <c r="A320" s="9"/>
      <c r="B320" s="9"/>
      <c r="C320" s="10" t="str">
        <f aca="false">IF($B320="","",IFERROR(INDEX('Client Master'!$C:$C,MATCH($B320,'Client Master'!$B:$B,0)),"Code not found"))</f>
        <v/>
      </c>
      <c r="D320" s="9"/>
      <c r="E320" s="9"/>
      <c r="F320" s="9"/>
      <c r="G320" s="11"/>
      <c r="H320" s="11"/>
      <c r="I320" s="9"/>
      <c r="J320" s="12"/>
      <c r="K320" s="11"/>
      <c r="L320" s="9"/>
      <c r="N320" s="0" t="str">
        <f aca="false">IF(AND($J320&gt;0,$K320="",$A320&lt;&gt;""),SUMPRODUCT(($J$2:$J$600&gt;0)*($K$2:$K$600="")*($A$2:$A$600&lt;&gt;"")*((IF($G$2:$G$600="",99999999,$G$2:$G$600))&lt;IF($G320="",99999999,$G320)))+SUMPRODUCT(($J$2:$J320&gt;0)*($K$2:$K320="")*($A$2:$A320&lt;&gt;"")*((IF($G$2:$G320="",99999999,$G$2:$G320))=IF($G320="",99999999,$G320))),"")</f>
        <v/>
      </c>
      <c r="O320" s="0" t="str">
        <f aca="false">IF(AND($F320="Not Started",$A320&lt;&gt;""),SUMPRODUCT(($F$2:$F$600="Not Started")*($A$2:$A$600&lt;&gt;"")*((IF($G$2:$G$600="",99999999,$G$2:$G$600))&lt;IF($G320="",99999999,$G320)))+SUMPRODUCT(($F$2:$F320="Not Started")*($A$2:$A320&lt;&gt;"")*((IF($G$2:$G320="",99999999,$G$2:$G320))=IF($G320="",99999999,$G320))),"")</f>
        <v/>
      </c>
      <c r="P320" s="0" t="str">
        <f aca="false">IF(AND(OR($F320="In Progress",$F320="Pending Client Data",$F320="Under Review"),$A320&lt;&gt;""),SUMPRODUCT((($F$2:$F$600="In Progress")+($F$2:$F$600="Pending Client Data")+($F$2:$F$600="Under Review"))*($A$2:$A$600&lt;&gt;"")*((IF($G$2:$G$600="",99999999,$G$2:$G$600))&lt;IF($G320="",99999999,$G320)))+SUMPRODUCT((($F$2:$F320="In Progress")+($F$2:$F320="Pending Client Data")+($F$2:$F320="Under Review"))*($A$2:$A320&lt;&gt;"")*((IF($G$2:$G320="",99999999,$G$2:$G320))=IF($G320="",99999999,$G320))),"")</f>
        <v/>
      </c>
    </row>
    <row r="321" customFormat="false" ht="15" hidden="false" customHeight="false" outlineLevel="0" collapsed="false">
      <c r="A321" s="9"/>
      <c r="B321" s="9"/>
      <c r="C321" s="10" t="str">
        <f aca="false">IF($B321="","",IFERROR(INDEX('Client Master'!$C:$C,MATCH($B321,'Client Master'!$B:$B,0)),"Code not found"))</f>
        <v/>
      </c>
      <c r="D321" s="9"/>
      <c r="E321" s="9"/>
      <c r="F321" s="9"/>
      <c r="G321" s="11"/>
      <c r="H321" s="11"/>
      <c r="I321" s="9"/>
      <c r="J321" s="12"/>
      <c r="K321" s="11"/>
      <c r="L321" s="9"/>
      <c r="N321" s="0" t="str">
        <f aca="false">IF(AND($J321&gt;0,$K321="",$A321&lt;&gt;""),SUMPRODUCT(($J$2:$J$600&gt;0)*($K$2:$K$600="")*($A$2:$A$600&lt;&gt;"")*((IF($G$2:$G$600="",99999999,$G$2:$G$600))&lt;IF($G321="",99999999,$G321)))+SUMPRODUCT(($J$2:$J321&gt;0)*($K$2:$K321="")*($A$2:$A321&lt;&gt;"")*((IF($G$2:$G321="",99999999,$G$2:$G321))=IF($G321="",99999999,$G321))),"")</f>
        <v/>
      </c>
      <c r="O321" s="0" t="str">
        <f aca="false">IF(AND($F321="Not Started",$A321&lt;&gt;""),SUMPRODUCT(($F$2:$F$600="Not Started")*($A$2:$A$600&lt;&gt;"")*((IF($G$2:$G$600="",99999999,$G$2:$G$600))&lt;IF($G321="",99999999,$G321)))+SUMPRODUCT(($F$2:$F321="Not Started")*($A$2:$A321&lt;&gt;"")*((IF($G$2:$G321="",99999999,$G$2:$G321))=IF($G321="",99999999,$G321))),"")</f>
        <v/>
      </c>
      <c r="P321" s="0" t="str">
        <f aca="false">IF(AND(OR($F321="In Progress",$F321="Pending Client Data",$F321="Under Review"),$A321&lt;&gt;""),SUMPRODUCT((($F$2:$F$600="In Progress")+($F$2:$F$600="Pending Client Data")+($F$2:$F$600="Under Review"))*($A$2:$A$600&lt;&gt;"")*((IF($G$2:$G$600="",99999999,$G$2:$G$600))&lt;IF($G321="",99999999,$G321)))+SUMPRODUCT((($F$2:$F321="In Progress")+($F$2:$F321="Pending Client Data")+($F$2:$F321="Under Review"))*($A$2:$A321&lt;&gt;"")*((IF($G$2:$G321="",99999999,$G$2:$G321))=IF($G321="",99999999,$G321))),"")</f>
        <v/>
      </c>
    </row>
    <row r="322" customFormat="false" ht="15" hidden="false" customHeight="false" outlineLevel="0" collapsed="false">
      <c r="A322" s="9"/>
      <c r="B322" s="9"/>
      <c r="C322" s="10" t="str">
        <f aca="false">IF($B322="","",IFERROR(INDEX('Client Master'!$C:$C,MATCH($B322,'Client Master'!$B:$B,0)),"Code not found"))</f>
        <v/>
      </c>
      <c r="D322" s="9"/>
      <c r="E322" s="9"/>
      <c r="F322" s="9"/>
      <c r="G322" s="11"/>
      <c r="H322" s="11"/>
      <c r="I322" s="9"/>
      <c r="J322" s="12"/>
      <c r="K322" s="11"/>
      <c r="L322" s="9"/>
      <c r="N322" s="0" t="str">
        <f aca="false">IF(AND($J322&gt;0,$K322="",$A322&lt;&gt;""),SUMPRODUCT(($J$2:$J$600&gt;0)*($K$2:$K$600="")*($A$2:$A$600&lt;&gt;"")*((IF($G$2:$G$600="",99999999,$G$2:$G$600))&lt;IF($G322="",99999999,$G322)))+SUMPRODUCT(($J$2:$J322&gt;0)*($K$2:$K322="")*($A$2:$A322&lt;&gt;"")*((IF($G$2:$G322="",99999999,$G$2:$G322))=IF($G322="",99999999,$G322))),"")</f>
        <v/>
      </c>
      <c r="O322" s="0" t="str">
        <f aca="false">IF(AND($F322="Not Started",$A322&lt;&gt;""),SUMPRODUCT(($F$2:$F$600="Not Started")*($A$2:$A$600&lt;&gt;"")*((IF($G$2:$G$600="",99999999,$G$2:$G$600))&lt;IF($G322="",99999999,$G322)))+SUMPRODUCT(($F$2:$F322="Not Started")*($A$2:$A322&lt;&gt;"")*((IF($G$2:$G322="",99999999,$G$2:$G322))=IF($G322="",99999999,$G322))),"")</f>
        <v/>
      </c>
      <c r="P322" s="0" t="str">
        <f aca="false">IF(AND(OR($F322="In Progress",$F322="Pending Client Data",$F322="Under Review"),$A322&lt;&gt;""),SUMPRODUCT((($F$2:$F$600="In Progress")+($F$2:$F$600="Pending Client Data")+($F$2:$F$600="Under Review"))*($A$2:$A$600&lt;&gt;"")*((IF($G$2:$G$600="",99999999,$G$2:$G$600))&lt;IF($G322="",99999999,$G322)))+SUMPRODUCT((($F$2:$F322="In Progress")+($F$2:$F322="Pending Client Data")+($F$2:$F322="Under Review"))*($A$2:$A322&lt;&gt;"")*((IF($G$2:$G322="",99999999,$G$2:$G322))=IF($G322="",99999999,$G322))),"")</f>
        <v/>
      </c>
    </row>
    <row r="323" customFormat="false" ht="15" hidden="false" customHeight="false" outlineLevel="0" collapsed="false">
      <c r="A323" s="9"/>
      <c r="B323" s="9"/>
      <c r="C323" s="10" t="str">
        <f aca="false">IF($B323="","",IFERROR(INDEX('Client Master'!$C:$C,MATCH($B323,'Client Master'!$B:$B,0)),"Code not found"))</f>
        <v/>
      </c>
      <c r="D323" s="9"/>
      <c r="E323" s="9"/>
      <c r="F323" s="9"/>
      <c r="G323" s="11"/>
      <c r="H323" s="11"/>
      <c r="I323" s="9"/>
      <c r="J323" s="12"/>
      <c r="K323" s="11"/>
      <c r="L323" s="9"/>
      <c r="N323" s="0" t="str">
        <f aca="false">IF(AND($J323&gt;0,$K323="",$A323&lt;&gt;""),SUMPRODUCT(($J$2:$J$600&gt;0)*($K$2:$K$600="")*($A$2:$A$600&lt;&gt;"")*((IF($G$2:$G$600="",99999999,$G$2:$G$600))&lt;IF($G323="",99999999,$G323)))+SUMPRODUCT(($J$2:$J323&gt;0)*($K$2:$K323="")*($A$2:$A323&lt;&gt;"")*((IF($G$2:$G323="",99999999,$G$2:$G323))=IF($G323="",99999999,$G323))),"")</f>
        <v/>
      </c>
      <c r="O323" s="0" t="str">
        <f aca="false">IF(AND($F323="Not Started",$A323&lt;&gt;""),SUMPRODUCT(($F$2:$F$600="Not Started")*($A$2:$A$600&lt;&gt;"")*((IF($G$2:$G$600="",99999999,$G$2:$G$600))&lt;IF($G323="",99999999,$G323)))+SUMPRODUCT(($F$2:$F323="Not Started")*($A$2:$A323&lt;&gt;"")*((IF($G$2:$G323="",99999999,$G$2:$G323))=IF($G323="",99999999,$G323))),"")</f>
        <v/>
      </c>
      <c r="P323" s="0" t="str">
        <f aca="false">IF(AND(OR($F323="In Progress",$F323="Pending Client Data",$F323="Under Review"),$A323&lt;&gt;""),SUMPRODUCT((($F$2:$F$600="In Progress")+($F$2:$F$600="Pending Client Data")+($F$2:$F$600="Under Review"))*($A$2:$A$600&lt;&gt;"")*((IF($G$2:$G$600="",99999999,$G$2:$G$600))&lt;IF($G323="",99999999,$G323)))+SUMPRODUCT((($F$2:$F323="In Progress")+($F$2:$F323="Pending Client Data")+($F$2:$F323="Under Review"))*($A$2:$A323&lt;&gt;"")*((IF($G$2:$G323="",99999999,$G$2:$G323))=IF($G323="",99999999,$G323))),"")</f>
        <v/>
      </c>
    </row>
    <row r="324" customFormat="false" ht="15" hidden="false" customHeight="false" outlineLevel="0" collapsed="false">
      <c r="A324" s="9"/>
      <c r="B324" s="9"/>
      <c r="C324" s="10" t="str">
        <f aca="false">IF($B324="","",IFERROR(INDEX('Client Master'!$C:$C,MATCH($B324,'Client Master'!$B:$B,0)),"Code not found"))</f>
        <v/>
      </c>
      <c r="D324" s="9"/>
      <c r="E324" s="9"/>
      <c r="F324" s="9"/>
      <c r="G324" s="11"/>
      <c r="H324" s="11"/>
      <c r="I324" s="9"/>
      <c r="J324" s="12"/>
      <c r="K324" s="11"/>
      <c r="L324" s="9"/>
      <c r="N324" s="0" t="str">
        <f aca="false">IF(AND($J324&gt;0,$K324="",$A324&lt;&gt;""),SUMPRODUCT(($J$2:$J$600&gt;0)*($K$2:$K$600="")*($A$2:$A$600&lt;&gt;"")*((IF($G$2:$G$600="",99999999,$G$2:$G$600))&lt;IF($G324="",99999999,$G324)))+SUMPRODUCT(($J$2:$J324&gt;0)*($K$2:$K324="")*($A$2:$A324&lt;&gt;"")*((IF($G$2:$G324="",99999999,$G$2:$G324))=IF($G324="",99999999,$G324))),"")</f>
        <v/>
      </c>
      <c r="O324" s="0" t="str">
        <f aca="false">IF(AND($F324="Not Started",$A324&lt;&gt;""),SUMPRODUCT(($F$2:$F$600="Not Started")*($A$2:$A$600&lt;&gt;"")*((IF($G$2:$G$600="",99999999,$G$2:$G$600))&lt;IF($G324="",99999999,$G324)))+SUMPRODUCT(($F$2:$F324="Not Started")*($A$2:$A324&lt;&gt;"")*((IF($G$2:$G324="",99999999,$G$2:$G324))=IF($G324="",99999999,$G324))),"")</f>
        <v/>
      </c>
      <c r="P324" s="0" t="str">
        <f aca="false">IF(AND(OR($F324="In Progress",$F324="Pending Client Data",$F324="Under Review"),$A324&lt;&gt;""),SUMPRODUCT((($F$2:$F$600="In Progress")+($F$2:$F$600="Pending Client Data")+($F$2:$F$600="Under Review"))*($A$2:$A$600&lt;&gt;"")*((IF($G$2:$G$600="",99999999,$G$2:$G$600))&lt;IF($G324="",99999999,$G324)))+SUMPRODUCT((($F$2:$F324="In Progress")+($F$2:$F324="Pending Client Data")+($F$2:$F324="Under Review"))*($A$2:$A324&lt;&gt;"")*((IF($G$2:$G324="",99999999,$G$2:$G324))=IF($G324="",99999999,$G324))),"")</f>
        <v/>
      </c>
    </row>
    <row r="325" customFormat="false" ht="15" hidden="false" customHeight="false" outlineLevel="0" collapsed="false">
      <c r="A325" s="9"/>
      <c r="B325" s="9"/>
      <c r="C325" s="10" t="str">
        <f aca="false">IF($B325="","",IFERROR(INDEX('Client Master'!$C:$C,MATCH($B325,'Client Master'!$B:$B,0)),"Code not found"))</f>
        <v/>
      </c>
      <c r="D325" s="9"/>
      <c r="E325" s="9"/>
      <c r="F325" s="9"/>
      <c r="G325" s="11"/>
      <c r="H325" s="11"/>
      <c r="I325" s="9"/>
      <c r="J325" s="12"/>
      <c r="K325" s="11"/>
      <c r="L325" s="9"/>
      <c r="N325" s="0" t="str">
        <f aca="false">IF(AND($J325&gt;0,$K325="",$A325&lt;&gt;""),SUMPRODUCT(($J$2:$J$600&gt;0)*($K$2:$K$600="")*($A$2:$A$600&lt;&gt;"")*((IF($G$2:$G$600="",99999999,$G$2:$G$600))&lt;IF($G325="",99999999,$G325)))+SUMPRODUCT(($J$2:$J325&gt;0)*($K$2:$K325="")*($A$2:$A325&lt;&gt;"")*((IF($G$2:$G325="",99999999,$G$2:$G325))=IF($G325="",99999999,$G325))),"")</f>
        <v/>
      </c>
      <c r="O325" s="0" t="str">
        <f aca="false">IF(AND($F325="Not Started",$A325&lt;&gt;""),SUMPRODUCT(($F$2:$F$600="Not Started")*($A$2:$A$600&lt;&gt;"")*((IF($G$2:$G$600="",99999999,$G$2:$G$600))&lt;IF($G325="",99999999,$G325)))+SUMPRODUCT(($F$2:$F325="Not Started")*($A$2:$A325&lt;&gt;"")*((IF($G$2:$G325="",99999999,$G$2:$G325))=IF($G325="",99999999,$G325))),"")</f>
        <v/>
      </c>
      <c r="P325" s="0" t="str">
        <f aca="false">IF(AND(OR($F325="In Progress",$F325="Pending Client Data",$F325="Under Review"),$A325&lt;&gt;""),SUMPRODUCT((($F$2:$F$600="In Progress")+($F$2:$F$600="Pending Client Data")+($F$2:$F$600="Under Review"))*($A$2:$A$600&lt;&gt;"")*((IF($G$2:$G$600="",99999999,$G$2:$G$600))&lt;IF($G325="",99999999,$G325)))+SUMPRODUCT((($F$2:$F325="In Progress")+($F$2:$F325="Pending Client Data")+($F$2:$F325="Under Review"))*($A$2:$A325&lt;&gt;"")*((IF($G$2:$G325="",99999999,$G$2:$G325))=IF($G325="",99999999,$G325))),"")</f>
        <v/>
      </c>
    </row>
    <row r="326" customFormat="false" ht="15" hidden="false" customHeight="false" outlineLevel="0" collapsed="false">
      <c r="A326" s="9"/>
      <c r="B326" s="9"/>
      <c r="C326" s="10" t="str">
        <f aca="false">IF($B326="","",IFERROR(INDEX('Client Master'!$C:$C,MATCH($B326,'Client Master'!$B:$B,0)),"Code not found"))</f>
        <v/>
      </c>
      <c r="D326" s="9"/>
      <c r="E326" s="9"/>
      <c r="F326" s="9"/>
      <c r="G326" s="11"/>
      <c r="H326" s="11"/>
      <c r="I326" s="9"/>
      <c r="J326" s="12"/>
      <c r="K326" s="11"/>
      <c r="L326" s="9"/>
      <c r="N326" s="0" t="str">
        <f aca="false">IF(AND($J326&gt;0,$K326="",$A326&lt;&gt;""),SUMPRODUCT(($J$2:$J$600&gt;0)*($K$2:$K$600="")*($A$2:$A$600&lt;&gt;"")*((IF($G$2:$G$600="",99999999,$G$2:$G$600))&lt;IF($G326="",99999999,$G326)))+SUMPRODUCT(($J$2:$J326&gt;0)*($K$2:$K326="")*($A$2:$A326&lt;&gt;"")*((IF($G$2:$G326="",99999999,$G$2:$G326))=IF($G326="",99999999,$G326))),"")</f>
        <v/>
      </c>
      <c r="O326" s="0" t="str">
        <f aca="false">IF(AND($F326="Not Started",$A326&lt;&gt;""),SUMPRODUCT(($F$2:$F$600="Not Started")*($A$2:$A$600&lt;&gt;"")*((IF($G$2:$G$600="",99999999,$G$2:$G$600))&lt;IF($G326="",99999999,$G326)))+SUMPRODUCT(($F$2:$F326="Not Started")*($A$2:$A326&lt;&gt;"")*((IF($G$2:$G326="",99999999,$G$2:$G326))=IF($G326="",99999999,$G326))),"")</f>
        <v/>
      </c>
      <c r="P326" s="0" t="str">
        <f aca="false">IF(AND(OR($F326="In Progress",$F326="Pending Client Data",$F326="Under Review"),$A326&lt;&gt;""),SUMPRODUCT((($F$2:$F$600="In Progress")+($F$2:$F$600="Pending Client Data")+($F$2:$F$600="Under Review"))*($A$2:$A$600&lt;&gt;"")*((IF($G$2:$G$600="",99999999,$G$2:$G$600))&lt;IF($G326="",99999999,$G326)))+SUMPRODUCT((($F$2:$F326="In Progress")+($F$2:$F326="Pending Client Data")+($F$2:$F326="Under Review"))*($A$2:$A326&lt;&gt;"")*((IF($G$2:$G326="",99999999,$G$2:$G326))=IF($G326="",99999999,$G326))),"")</f>
        <v/>
      </c>
    </row>
    <row r="327" customFormat="false" ht="15" hidden="false" customHeight="false" outlineLevel="0" collapsed="false">
      <c r="A327" s="9"/>
      <c r="B327" s="9"/>
      <c r="C327" s="10" t="str">
        <f aca="false">IF($B327="","",IFERROR(INDEX('Client Master'!$C:$C,MATCH($B327,'Client Master'!$B:$B,0)),"Code not found"))</f>
        <v/>
      </c>
      <c r="D327" s="9"/>
      <c r="E327" s="9"/>
      <c r="F327" s="9"/>
      <c r="G327" s="11"/>
      <c r="H327" s="11"/>
      <c r="I327" s="9"/>
      <c r="J327" s="12"/>
      <c r="K327" s="11"/>
      <c r="L327" s="9"/>
      <c r="N327" s="0" t="str">
        <f aca="false">IF(AND($J327&gt;0,$K327="",$A327&lt;&gt;""),SUMPRODUCT(($J$2:$J$600&gt;0)*($K$2:$K$600="")*($A$2:$A$600&lt;&gt;"")*((IF($G$2:$G$600="",99999999,$G$2:$G$600))&lt;IF($G327="",99999999,$G327)))+SUMPRODUCT(($J$2:$J327&gt;0)*($K$2:$K327="")*($A$2:$A327&lt;&gt;"")*((IF($G$2:$G327="",99999999,$G$2:$G327))=IF($G327="",99999999,$G327))),"")</f>
        <v/>
      </c>
      <c r="O327" s="0" t="str">
        <f aca="false">IF(AND($F327="Not Started",$A327&lt;&gt;""),SUMPRODUCT(($F$2:$F$600="Not Started")*($A$2:$A$600&lt;&gt;"")*((IF($G$2:$G$600="",99999999,$G$2:$G$600))&lt;IF($G327="",99999999,$G327)))+SUMPRODUCT(($F$2:$F327="Not Started")*($A$2:$A327&lt;&gt;"")*((IF($G$2:$G327="",99999999,$G$2:$G327))=IF($G327="",99999999,$G327))),"")</f>
        <v/>
      </c>
      <c r="P327" s="0" t="str">
        <f aca="false">IF(AND(OR($F327="In Progress",$F327="Pending Client Data",$F327="Under Review"),$A327&lt;&gt;""),SUMPRODUCT((($F$2:$F$600="In Progress")+($F$2:$F$600="Pending Client Data")+($F$2:$F$600="Under Review"))*($A$2:$A$600&lt;&gt;"")*((IF($G$2:$G$600="",99999999,$G$2:$G$600))&lt;IF($G327="",99999999,$G327)))+SUMPRODUCT((($F$2:$F327="In Progress")+($F$2:$F327="Pending Client Data")+($F$2:$F327="Under Review"))*($A$2:$A327&lt;&gt;"")*((IF($G$2:$G327="",99999999,$G$2:$G327))=IF($G327="",99999999,$G327))),"")</f>
        <v/>
      </c>
    </row>
    <row r="328" customFormat="false" ht="15" hidden="false" customHeight="false" outlineLevel="0" collapsed="false">
      <c r="A328" s="9"/>
      <c r="B328" s="9"/>
      <c r="C328" s="10" t="str">
        <f aca="false">IF($B328="","",IFERROR(INDEX('Client Master'!$C:$C,MATCH($B328,'Client Master'!$B:$B,0)),"Code not found"))</f>
        <v/>
      </c>
      <c r="D328" s="9"/>
      <c r="E328" s="9"/>
      <c r="F328" s="9"/>
      <c r="G328" s="11"/>
      <c r="H328" s="11"/>
      <c r="I328" s="9"/>
      <c r="J328" s="12"/>
      <c r="K328" s="11"/>
      <c r="L328" s="9"/>
      <c r="N328" s="0" t="str">
        <f aca="false">IF(AND($J328&gt;0,$K328="",$A328&lt;&gt;""),SUMPRODUCT(($J$2:$J$600&gt;0)*($K$2:$K$600="")*($A$2:$A$600&lt;&gt;"")*((IF($G$2:$G$600="",99999999,$G$2:$G$600))&lt;IF($G328="",99999999,$G328)))+SUMPRODUCT(($J$2:$J328&gt;0)*($K$2:$K328="")*($A$2:$A328&lt;&gt;"")*((IF($G$2:$G328="",99999999,$G$2:$G328))=IF($G328="",99999999,$G328))),"")</f>
        <v/>
      </c>
      <c r="O328" s="0" t="str">
        <f aca="false">IF(AND($F328="Not Started",$A328&lt;&gt;""),SUMPRODUCT(($F$2:$F$600="Not Started")*($A$2:$A$600&lt;&gt;"")*((IF($G$2:$G$600="",99999999,$G$2:$G$600))&lt;IF($G328="",99999999,$G328)))+SUMPRODUCT(($F$2:$F328="Not Started")*($A$2:$A328&lt;&gt;"")*((IF($G$2:$G328="",99999999,$G$2:$G328))=IF($G328="",99999999,$G328))),"")</f>
        <v/>
      </c>
      <c r="P328" s="0" t="str">
        <f aca="false">IF(AND(OR($F328="In Progress",$F328="Pending Client Data",$F328="Under Review"),$A328&lt;&gt;""),SUMPRODUCT((($F$2:$F$600="In Progress")+($F$2:$F$600="Pending Client Data")+($F$2:$F$600="Under Review"))*($A$2:$A$600&lt;&gt;"")*((IF($G$2:$G$600="",99999999,$G$2:$G$600))&lt;IF($G328="",99999999,$G328)))+SUMPRODUCT((($F$2:$F328="In Progress")+($F$2:$F328="Pending Client Data")+($F$2:$F328="Under Review"))*($A$2:$A328&lt;&gt;"")*((IF($G$2:$G328="",99999999,$G$2:$G328))=IF($G328="",99999999,$G328))),"")</f>
        <v/>
      </c>
    </row>
    <row r="329" customFormat="false" ht="15" hidden="false" customHeight="false" outlineLevel="0" collapsed="false">
      <c r="A329" s="9"/>
      <c r="B329" s="9"/>
      <c r="C329" s="10" t="str">
        <f aca="false">IF($B329="","",IFERROR(INDEX('Client Master'!$C:$C,MATCH($B329,'Client Master'!$B:$B,0)),"Code not found"))</f>
        <v/>
      </c>
      <c r="D329" s="9"/>
      <c r="E329" s="9"/>
      <c r="F329" s="9"/>
      <c r="G329" s="11"/>
      <c r="H329" s="11"/>
      <c r="I329" s="9"/>
      <c r="J329" s="12"/>
      <c r="K329" s="11"/>
      <c r="L329" s="9"/>
      <c r="N329" s="0" t="str">
        <f aca="false">IF(AND($J329&gt;0,$K329="",$A329&lt;&gt;""),SUMPRODUCT(($J$2:$J$600&gt;0)*($K$2:$K$600="")*($A$2:$A$600&lt;&gt;"")*((IF($G$2:$G$600="",99999999,$G$2:$G$600))&lt;IF($G329="",99999999,$G329)))+SUMPRODUCT(($J$2:$J329&gt;0)*($K$2:$K329="")*($A$2:$A329&lt;&gt;"")*((IF($G$2:$G329="",99999999,$G$2:$G329))=IF($G329="",99999999,$G329))),"")</f>
        <v/>
      </c>
      <c r="O329" s="0" t="str">
        <f aca="false">IF(AND($F329="Not Started",$A329&lt;&gt;""),SUMPRODUCT(($F$2:$F$600="Not Started")*($A$2:$A$600&lt;&gt;"")*((IF($G$2:$G$600="",99999999,$G$2:$G$600))&lt;IF($G329="",99999999,$G329)))+SUMPRODUCT(($F$2:$F329="Not Started")*($A$2:$A329&lt;&gt;"")*((IF($G$2:$G329="",99999999,$G$2:$G329))=IF($G329="",99999999,$G329))),"")</f>
        <v/>
      </c>
      <c r="P329" s="0" t="str">
        <f aca="false">IF(AND(OR($F329="In Progress",$F329="Pending Client Data",$F329="Under Review"),$A329&lt;&gt;""),SUMPRODUCT((($F$2:$F$600="In Progress")+($F$2:$F$600="Pending Client Data")+($F$2:$F$600="Under Review"))*($A$2:$A$600&lt;&gt;"")*((IF($G$2:$G$600="",99999999,$G$2:$G$600))&lt;IF($G329="",99999999,$G329)))+SUMPRODUCT((($F$2:$F329="In Progress")+($F$2:$F329="Pending Client Data")+($F$2:$F329="Under Review"))*($A$2:$A329&lt;&gt;"")*((IF($G$2:$G329="",99999999,$G$2:$G329))=IF($G329="",99999999,$G329))),"")</f>
        <v/>
      </c>
    </row>
    <row r="330" customFormat="false" ht="15" hidden="false" customHeight="false" outlineLevel="0" collapsed="false">
      <c r="A330" s="9"/>
      <c r="B330" s="9"/>
      <c r="C330" s="10" t="str">
        <f aca="false">IF($B330="","",IFERROR(INDEX('Client Master'!$C:$C,MATCH($B330,'Client Master'!$B:$B,0)),"Code not found"))</f>
        <v/>
      </c>
      <c r="D330" s="9"/>
      <c r="E330" s="9"/>
      <c r="F330" s="9"/>
      <c r="G330" s="11"/>
      <c r="H330" s="11"/>
      <c r="I330" s="9"/>
      <c r="J330" s="12"/>
      <c r="K330" s="11"/>
      <c r="L330" s="9"/>
      <c r="N330" s="0" t="str">
        <f aca="false">IF(AND($J330&gt;0,$K330="",$A330&lt;&gt;""),SUMPRODUCT(($J$2:$J$600&gt;0)*($K$2:$K$600="")*($A$2:$A$600&lt;&gt;"")*((IF($G$2:$G$600="",99999999,$G$2:$G$600))&lt;IF($G330="",99999999,$G330)))+SUMPRODUCT(($J$2:$J330&gt;0)*($K$2:$K330="")*($A$2:$A330&lt;&gt;"")*((IF($G$2:$G330="",99999999,$G$2:$G330))=IF($G330="",99999999,$G330))),"")</f>
        <v/>
      </c>
      <c r="O330" s="0" t="str">
        <f aca="false">IF(AND($F330="Not Started",$A330&lt;&gt;""),SUMPRODUCT(($F$2:$F$600="Not Started")*($A$2:$A$600&lt;&gt;"")*((IF($G$2:$G$600="",99999999,$G$2:$G$600))&lt;IF($G330="",99999999,$G330)))+SUMPRODUCT(($F$2:$F330="Not Started")*($A$2:$A330&lt;&gt;"")*((IF($G$2:$G330="",99999999,$G$2:$G330))=IF($G330="",99999999,$G330))),"")</f>
        <v/>
      </c>
      <c r="P330" s="0" t="str">
        <f aca="false">IF(AND(OR($F330="In Progress",$F330="Pending Client Data",$F330="Under Review"),$A330&lt;&gt;""),SUMPRODUCT((($F$2:$F$600="In Progress")+($F$2:$F$600="Pending Client Data")+($F$2:$F$600="Under Review"))*($A$2:$A$600&lt;&gt;"")*((IF($G$2:$G$600="",99999999,$G$2:$G$600))&lt;IF($G330="",99999999,$G330)))+SUMPRODUCT((($F$2:$F330="In Progress")+($F$2:$F330="Pending Client Data")+($F$2:$F330="Under Review"))*($A$2:$A330&lt;&gt;"")*((IF($G$2:$G330="",99999999,$G$2:$G330))=IF($G330="",99999999,$G330))),"")</f>
        <v/>
      </c>
    </row>
    <row r="331" customFormat="false" ht="15" hidden="false" customHeight="false" outlineLevel="0" collapsed="false">
      <c r="A331" s="9"/>
      <c r="B331" s="9"/>
      <c r="C331" s="10" t="str">
        <f aca="false">IF($B331="","",IFERROR(INDEX('Client Master'!$C:$C,MATCH($B331,'Client Master'!$B:$B,0)),"Code not found"))</f>
        <v/>
      </c>
      <c r="D331" s="9"/>
      <c r="E331" s="9"/>
      <c r="F331" s="9"/>
      <c r="G331" s="11"/>
      <c r="H331" s="11"/>
      <c r="I331" s="9"/>
      <c r="J331" s="12"/>
      <c r="K331" s="11"/>
      <c r="L331" s="9"/>
      <c r="N331" s="0" t="str">
        <f aca="false">IF(AND($J331&gt;0,$K331="",$A331&lt;&gt;""),SUMPRODUCT(($J$2:$J$600&gt;0)*($K$2:$K$600="")*($A$2:$A$600&lt;&gt;"")*((IF($G$2:$G$600="",99999999,$G$2:$G$600))&lt;IF($G331="",99999999,$G331)))+SUMPRODUCT(($J$2:$J331&gt;0)*($K$2:$K331="")*($A$2:$A331&lt;&gt;"")*((IF($G$2:$G331="",99999999,$G$2:$G331))=IF($G331="",99999999,$G331))),"")</f>
        <v/>
      </c>
      <c r="O331" s="0" t="str">
        <f aca="false">IF(AND($F331="Not Started",$A331&lt;&gt;""),SUMPRODUCT(($F$2:$F$600="Not Started")*($A$2:$A$600&lt;&gt;"")*((IF($G$2:$G$600="",99999999,$G$2:$G$600))&lt;IF($G331="",99999999,$G331)))+SUMPRODUCT(($F$2:$F331="Not Started")*($A$2:$A331&lt;&gt;"")*((IF($G$2:$G331="",99999999,$G$2:$G331))=IF($G331="",99999999,$G331))),"")</f>
        <v/>
      </c>
      <c r="P331" s="0" t="str">
        <f aca="false">IF(AND(OR($F331="In Progress",$F331="Pending Client Data",$F331="Under Review"),$A331&lt;&gt;""),SUMPRODUCT((($F$2:$F$600="In Progress")+($F$2:$F$600="Pending Client Data")+($F$2:$F$600="Under Review"))*($A$2:$A$600&lt;&gt;"")*((IF($G$2:$G$600="",99999999,$G$2:$G$600))&lt;IF($G331="",99999999,$G331)))+SUMPRODUCT((($F$2:$F331="In Progress")+($F$2:$F331="Pending Client Data")+($F$2:$F331="Under Review"))*($A$2:$A331&lt;&gt;"")*((IF($G$2:$G331="",99999999,$G$2:$G331))=IF($G331="",99999999,$G331))),"")</f>
        <v/>
      </c>
    </row>
    <row r="332" customFormat="false" ht="15" hidden="false" customHeight="false" outlineLevel="0" collapsed="false">
      <c r="A332" s="9"/>
      <c r="B332" s="9"/>
      <c r="C332" s="10" t="str">
        <f aca="false">IF($B332="","",IFERROR(INDEX('Client Master'!$C:$C,MATCH($B332,'Client Master'!$B:$B,0)),"Code not found"))</f>
        <v/>
      </c>
      <c r="D332" s="9"/>
      <c r="E332" s="9"/>
      <c r="F332" s="9"/>
      <c r="G332" s="11"/>
      <c r="H332" s="11"/>
      <c r="I332" s="9"/>
      <c r="J332" s="12"/>
      <c r="K332" s="11"/>
      <c r="L332" s="9"/>
      <c r="N332" s="0" t="str">
        <f aca="false">IF(AND($J332&gt;0,$K332="",$A332&lt;&gt;""),SUMPRODUCT(($J$2:$J$600&gt;0)*($K$2:$K$600="")*($A$2:$A$600&lt;&gt;"")*((IF($G$2:$G$600="",99999999,$G$2:$G$600))&lt;IF($G332="",99999999,$G332)))+SUMPRODUCT(($J$2:$J332&gt;0)*($K$2:$K332="")*($A$2:$A332&lt;&gt;"")*((IF($G$2:$G332="",99999999,$G$2:$G332))=IF($G332="",99999999,$G332))),"")</f>
        <v/>
      </c>
      <c r="O332" s="0" t="str">
        <f aca="false">IF(AND($F332="Not Started",$A332&lt;&gt;""),SUMPRODUCT(($F$2:$F$600="Not Started")*($A$2:$A$600&lt;&gt;"")*((IF($G$2:$G$600="",99999999,$G$2:$G$600))&lt;IF($G332="",99999999,$G332)))+SUMPRODUCT(($F$2:$F332="Not Started")*($A$2:$A332&lt;&gt;"")*((IF($G$2:$G332="",99999999,$G$2:$G332))=IF($G332="",99999999,$G332))),"")</f>
        <v/>
      </c>
      <c r="P332" s="0" t="str">
        <f aca="false">IF(AND(OR($F332="In Progress",$F332="Pending Client Data",$F332="Under Review"),$A332&lt;&gt;""),SUMPRODUCT((($F$2:$F$600="In Progress")+($F$2:$F$600="Pending Client Data")+($F$2:$F$600="Under Review"))*($A$2:$A$600&lt;&gt;"")*((IF($G$2:$G$600="",99999999,$G$2:$G$600))&lt;IF($G332="",99999999,$G332)))+SUMPRODUCT((($F$2:$F332="In Progress")+($F$2:$F332="Pending Client Data")+($F$2:$F332="Under Review"))*($A$2:$A332&lt;&gt;"")*((IF($G$2:$G332="",99999999,$G$2:$G332))=IF($G332="",99999999,$G332))),"")</f>
        <v/>
      </c>
    </row>
    <row r="333" customFormat="false" ht="15" hidden="false" customHeight="false" outlineLevel="0" collapsed="false">
      <c r="A333" s="9"/>
      <c r="B333" s="9"/>
      <c r="C333" s="10" t="str">
        <f aca="false">IF($B333="","",IFERROR(INDEX('Client Master'!$C:$C,MATCH($B333,'Client Master'!$B:$B,0)),"Code not found"))</f>
        <v/>
      </c>
      <c r="D333" s="9"/>
      <c r="E333" s="9"/>
      <c r="F333" s="9"/>
      <c r="G333" s="11"/>
      <c r="H333" s="11"/>
      <c r="I333" s="9"/>
      <c r="J333" s="12"/>
      <c r="K333" s="11"/>
      <c r="L333" s="9"/>
      <c r="N333" s="0" t="str">
        <f aca="false">IF(AND($J333&gt;0,$K333="",$A333&lt;&gt;""),SUMPRODUCT(($J$2:$J$600&gt;0)*($K$2:$K$600="")*($A$2:$A$600&lt;&gt;"")*((IF($G$2:$G$600="",99999999,$G$2:$G$600))&lt;IF($G333="",99999999,$G333)))+SUMPRODUCT(($J$2:$J333&gt;0)*($K$2:$K333="")*($A$2:$A333&lt;&gt;"")*((IF($G$2:$G333="",99999999,$G$2:$G333))=IF($G333="",99999999,$G333))),"")</f>
        <v/>
      </c>
      <c r="O333" s="0" t="str">
        <f aca="false">IF(AND($F333="Not Started",$A333&lt;&gt;""),SUMPRODUCT(($F$2:$F$600="Not Started")*($A$2:$A$600&lt;&gt;"")*((IF($G$2:$G$600="",99999999,$G$2:$G$600))&lt;IF($G333="",99999999,$G333)))+SUMPRODUCT(($F$2:$F333="Not Started")*($A$2:$A333&lt;&gt;"")*((IF($G$2:$G333="",99999999,$G$2:$G333))=IF($G333="",99999999,$G333))),"")</f>
        <v/>
      </c>
      <c r="P333" s="0" t="str">
        <f aca="false">IF(AND(OR($F333="In Progress",$F333="Pending Client Data",$F333="Under Review"),$A333&lt;&gt;""),SUMPRODUCT((($F$2:$F$600="In Progress")+($F$2:$F$600="Pending Client Data")+($F$2:$F$600="Under Review"))*($A$2:$A$600&lt;&gt;"")*((IF($G$2:$G$600="",99999999,$G$2:$G$600))&lt;IF($G333="",99999999,$G333)))+SUMPRODUCT((($F$2:$F333="In Progress")+($F$2:$F333="Pending Client Data")+($F$2:$F333="Under Review"))*($A$2:$A333&lt;&gt;"")*((IF($G$2:$G333="",99999999,$G$2:$G333))=IF($G333="",99999999,$G333))),"")</f>
        <v/>
      </c>
    </row>
    <row r="334" customFormat="false" ht="15" hidden="false" customHeight="false" outlineLevel="0" collapsed="false">
      <c r="A334" s="9"/>
      <c r="B334" s="9"/>
      <c r="C334" s="10" t="str">
        <f aca="false">IF($B334="","",IFERROR(INDEX('Client Master'!$C:$C,MATCH($B334,'Client Master'!$B:$B,0)),"Code not found"))</f>
        <v/>
      </c>
      <c r="D334" s="9"/>
      <c r="E334" s="9"/>
      <c r="F334" s="9"/>
      <c r="G334" s="11"/>
      <c r="H334" s="11"/>
      <c r="I334" s="9"/>
      <c r="J334" s="12"/>
      <c r="K334" s="11"/>
      <c r="L334" s="9"/>
      <c r="N334" s="0" t="str">
        <f aca="false">IF(AND($J334&gt;0,$K334="",$A334&lt;&gt;""),SUMPRODUCT(($J$2:$J$600&gt;0)*($K$2:$K$600="")*($A$2:$A$600&lt;&gt;"")*((IF($G$2:$G$600="",99999999,$G$2:$G$600))&lt;IF($G334="",99999999,$G334)))+SUMPRODUCT(($J$2:$J334&gt;0)*($K$2:$K334="")*($A$2:$A334&lt;&gt;"")*((IF($G$2:$G334="",99999999,$G$2:$G334))=IF($G334="",99999999,$G334))),"")</f>
        <v/>
      </c>
      <c r="O334" s="0" t="str">
        <f aca="false">IF(AND($F334="Not Started",$A334&lt;&gt;""),SUMPRODUCT(($F$2:$F$600="Not Started")*($A$2:$A$600&lt;&gt;"")*((IF($G$2:$G$600="",99999999,$G$2:$G$600))&lt;IF($G334="",99999999,$G334)))+SUMPRODUCT(($F$2:$F334="Not Started")*($A$2:$A334&lt;&gt;"")*((IF($G$2:$G334="",99999999,$G$2:$G334))=IF($G334="",99999999,$G334))),"")</f>
        <v/>
      </c>
      <c r="P334" s="0" t="str">
        <f aca="false">IF(AND(OR($F334="In Progress",$F334="Pending Client Data",$F334="Under Review"),$A334&lt;&gt;""),SUMPRODUCT((($F$2:$F$600="In Progress")+($F$2:$F$600="Pending Client Data")+($F$2:$F$600="Under Review"))*($A$2:$A$600&lt;&gt;"")*((IF($G$2:$G$600="",99999999,$G$2:$G$600))&lt;IF($G334="",99999999,$G334)))+SUMPRODUCT((($F$2:$F334="In Progress")+($F$2:$F334="Pending Client Data")+($F$2:$F334="Under Review"))*($A$2:$A334&lt;&gt;"")*((IF($G$2:$G334="",99999999,$G$2:$G334))=IF($G334="",99999999,$G334))),"")</f>
        <v/>
      </c>
    </row>
    <row r="335" customFormat="false" ht="15" hidden="false" customHeight="false" outlineLevel="0" collapsed="false">
      <c r="A335" s="9"/>
      <c r="B335" s="9"/>
      <c r="C335" s="10" t="str">
        <f aca="false">IF($B335="","",IFERROR(INDEX('Client Master'!$C:$C,MATCH($B335,'Client Master'!$B:$B,0)),"Code not found"))</f>
        <v/>
      </c>
      <c r="D335" s="9"/>
      <c r="E335" s="9"/>
      <c r="F335" s="9"/>
      <c r="G335" s="11"/>
      <c r="H335" s="11"/>
      <c r="I335" s="9"/>
      <c r="J335" s="12"/>
      <c r="K335" s="11"/>
      <c r="L335" s="9"/>
      <c r="N335" s="0" t="str">
        <f aca="false">IF(AND($J335&gt;0,$K335="",$A335&lt;&gt;""),SUMPRODUCT(($J$2:$J$600&gt;0)*($K$2:$K$600="")*($A$2:$A$600&lt;&gt;"")*((IF($G$2:$G$600="",99999999,$G$2:$G$600))&lt;IF($G335="",99999999,$G335)))+SUMPRODUCT(($J$2:$J335&gt;0)*($K$2:$K335="")*($A$2:$A335&lt;&gt;"")*((IF($G$2:$G335="",99999999,$G$2:$G335))=IF($G335="",99999999,$G335))),"")</f>
        <v/>
      </c>
      <c r="O335" s="0" t="str">
        <f aca="false">IF(AND($F335="Not Started",$A335&lt;&gt;""),SUMPRODUCT(($F$2:$F$600="Not Started")*($A$2:$A$600&lt;&gt;"")*((IF($G$2:$G$600="",99999999,$G$2:$G$600))&lt;IF($G335="",99999999,$G335)))+SUMPRODUCT(($F$2:$F335="Not Started")*($A$2:$A335&lt;&gt;"")*((IF($G$2:$G335="",99999999,$G$2:$G335))=IF($G335="",99999999,$G335))),"")</f>
        <v/>
      </c>
      <c r="P335" s="0" t="str">
        <f aca="false">IF(AND(OR($F335="In Progress",$F335="Pending Client Data",$F335="Under Review"),$A335&lt;&gt;""),SUMPRODUCT((($F$2:$F$600="In Progress")+($F$2:$F$600="Pending Client Data")+($F$2:$F$600="Under Review"))*($A$2:$A$600&lt;&gt;"")*((IF($G$2:$G$600="",99999999,$G$2:$G$600))&lt;IF($G335="",99999999,$G335)))+SUMPRODUCT((($F$2:$F335="In Progress")+($F$2:$F335="Pending Client Data")+($F$2:$F335="Under Review"))*($A$2:$A335&lt;&gt;"")*((IF($G$2:$G335="",99999999,$G$2:$G335))=IF($G335="",99999999,$G335))),"")</f>
        <v/>
      </c>
    </row>
    <row r="336" customFormat="false" ht="15" hidden="false" customHeight="false" outlineLevel="0" collapsed="false">
      <c r="A336" s="9"/>
      <c r="B336" s="9"/>
      <c r="C336" s="10" t="str">
        <f aca="false">IF($B336="","",IFERROR(INDEX('Client Master'!$C:$C,MATCH($B336,'Client Master'!$B:$B,0)),"Code not found"))</f>
        <v/>
      </c>
      <c r="D336" s="9"/>
      <c r="E336" s="9"/>
      <c r="F336" s="9"/>
      <c r="G336" s="11"/>
      <c r="H336" s="11"/>
      <c r="I336" s="9"/>
      <c r="J336" s="12"/>
      <c r="K336" s="11"/>
      <c r="L336" s="9"/>
      <c r="N336" s="0" t="str">
        <f aca="false">IF(AND($J336&gt;0,$K336="",$A336&lt;&gt;""),SUMPRODUCT(($J$2:$J$600&gt;0)*($K$2:$K$600="")*($A$2:$A$600&lt;&gt;"")*((IF($G$2:$G$600="",99999999,$G$2:$G$600))&lt;IF($G336="",99999999,$G336)))+SUMPRODUCT(($J$2:$J336&gt;0)*($K$2:$K336="")*($A$2:$A336&lt;&gt;"")*((IF($G$2:$G336="",99999999,$G$2:$G336))=IF($G336="",99999999,$G336))),"")</f>
        <v/>
      </c>
      <c r="O336" s="0" t="str">
        <f aca="false">IF(AND($F336="Not Started",$A336&lt;&gt;""),SUMPRODUCT(($F$2:$F$600="Not Started")*($A$2:$A$600&lt;&gt;"")*((IF($G$2:$G$600="",99999999,$G$2:$G$600))&lt;IF($G336="",99999999,$G336)))+SUMPRODUCT(($F$2:$F336="Not Started")*($A$2:$A336&lt;&gt;"")*((IF($G$2:$G336="",99999999,$G$2:$G336))=IF($G336="",99999999,$G336))),"")</f>
        <v/>
      </c>
      <c r="P336" s="0" t="str">
        <f aca="false">IF(AND(OR($F336="In Progress",$F336="Pending Client Data",$F336="Under Review"),$A336&lt;&gt;""),SUMPRODUCT((($F$2:$F$600="In Progress")+($F$2:$F$600="Pending Client Data")+($F$2:$F$600="Under Review"))*($A$2:$A$600&lt;&gt;"")*((IF($G$2:$G$600="",99999999,$G$2:$G$600))&lt;IF($G336="",99999999,$G336)))+SUMPRODUCT((($F$2:$F336="In Progress")+($F$2:$F336="Pending Client Data")+($F$2:$F336="Under Review"))*($A$2:$A336&lt;&gt;"")*((IF($G$2:$G336="",99999999,$G$2:$G336))=IF($G336="",99999999,$G336))),"")</f>
        <v/>
      </c>
    </row>
    <row r="337" customFormat="false" ht="15" hidden="false" customHeight="false" outlineLevel="0" collapsed="false">
      <c r="A337" s="9"/>
      <c r="B337" s="9"/>
      <c r="C337" s="10" t="str">
        <f aca="false">IF($B337="","",IFERROR(INDEX('Client Master'!$C:$C,MATCH($B337,'Client Master'!$B:$B,0)),"Code not found"))</f>
        <v/>
      </c>
      <c r="D337" s="9"/>
      <c r="E337" s="9"/>
      <c r="F337" s="9"/>
      <c r="G337" s="11"/>
      <c r="H337" s="11"/>
      <c r="I337" s="9"/>
      <c r="J337" s="12"/>
      <c r="K337" s="11"/>
      <c r="L337" s="9"/>
      <c r="N337" s="0" t="str">
        <f aca="false">IF(AND($J337&gt;0,$K337="",$A337&lt;&gt;""),SUMPRODUCT(($J$2:$J$600&gt;0)*($K$2:$K$600="")*($A$2:$A$600&lt;&gt;"")*((IF($G$2:$G$600="",99999999,$G$2:$G$600))&lt;IF($G337="",99999999,$G337)))+SUMPRODUCT(($J$2:$J337&gt;0)*($K$2:$K337="")*($A$2:$A337&lt;&gt;"")*((IF($G$2:$G337="",99999999,$G$2:$G337))=IF($G337="",99999999,$G337))),"")</f>
        <v/>
      </c>
      <c r="O337" s="0" t="str">
        <f aca="false">IF(AND($F337="Not Started",$A337&lt;&gt;""),SUMPRODUCT(($F$2:$F$600="Not Started")*($A$2:$A$600&lt;&gt;"")*((IF($G$2:$G$600="",99999999,$G$2:$G$600))&lt;IF($G337="",99999999,$G337)))+SUMPRODUCT(($F$2:$F337="Not Started")*($A$2:$A337&lt;&gt;"")*((IF($G$2:$G337="",99999999,$G$2:$G337))=IF($G337="",99999999,$G337))),"")</f>
        <v/>
      </c>
      <c r="P337" s="0" t="str">
        <f aca="false">IF(AND(OR($F337="In Progress",$F337="Pending Client Data",$F337="Under Review"),$A337&lt;&gt;""),SUMPRODUCT((($F$2:$F$600="In Progress")+($F$2:$F$600="Pending Client Data")+($F$2:$F$600="Under Review"))*($A$2:$A$600&lt;&gt;"")*((IF($G$2:$G$600="",99999999,$G$2:$G$600))&lt;IF($G337="",99999999,$G337)))+SUMPRODUCT((($F$2:$F337="In Progress")+($F$2:$F337="Pending Client Data")+($F$2:$F337="Under Review"))*($A$2:$A337&lt;&gt;"")*((IF($G$2:$G337="",99999999,$G$2:$G337))=IF($G337="",99999999,$G337))),"")</f>
        <v/>
      </c>
    </row>
    <row r="338" customFormat="false" ht="15" hidden="false" customHeight="false" outlineLevel="0" collapsed="false">
      <c r="A338" s="9"/>
      <c r="B338" s="9"/>
      <c r="C338" s="10" t="str">
        <f aca="false">IF($B338="","",IFERROR(INDEX('Client Master'!$C:$C,MATCH($B338,'Client Master'!$B:$B,0)),"Code not found"))</f>
        <v/>
      </c>
      <c r="D338" s="9"/>
      <c r="E338" s="9"/>
      <c r="F338" s="9"/>
      <c r="G338" s="11"/>
      <c r="H338" s="11"/>
      <c r="I338" s="9"/>
      <c r="J338" s="12"/>
      <c r="K338" s="11"/>
      <c r="L338" s="9"/>
      <c r="N338" s="0" t="str">
        <f aca="false">IF(AND($J338&gt;0,$K338="",$A338&lt;&gt;""),SUMPRODUCT(($J$2:$J$600&gt;0)*($K$2:$K$600="")*($A$2:$A$600&lt;&gt;"")*((IF($G$2:$G$600="",99999999,$G$2:$G$600))&lt;IF($G338="",99999999,$G338)))+SUMPRODUCT(($J$2:$J338&gt;0)*($K$2:$K338="")*($A$2:$A338&lt;&gt;"")*((IF($G$2:$G338="",99999999,$G$2:$G338))=IF($G338="",99999999,$G338))),"")</f>
        <v/>
      </c>
      <c r="O338" s="0" t="str">
        <f aca="false">IF(AND($F338="Not Started",$A338&lt;&gt;""),SUMPRODUCT(($F$2:$F$600="Not Started")*($A$2:$A$600&lt;&gt;"")*((IF($G$2:$G$600="",99999999,$G$2:$G$600))&lt;IF($G338="",99999999,$G338)))+SUMPRODUCT(($F$2:$F338="Not Started")*($A$2:$A338&lt;&gt;"")*((IF($G$2:$G338="",99999999,$G$2:$G338))=IF($G338="",99999999,$G338))),"")</f>
        <v/>
      </c>
      <c r="P338" s="0" t="str">
        <f aca="false">IF(AND(OR($F338="In Progress",$F338="Pending Client Data",$F338="Under Review"),$A338&lt;&gt;""),SUMPRODUCT((($F$2:$F$600="In Progress")+($F$2:$F$600="Pending Client Data")+($F$2:$F$600="Under Review"))*($A$2:$A$600&lt;&gt;"")*((IF($G$2:$G$600="",99999999,$G$2:$G$600))&lt;IF($G338="",99999999,$G338)))+SUMPRODUCT((($F$2:$F338="In Progress")+($F$2:$F338="Pending Client Data")+($F$2:$F338="Under Review"))*($A$2:$A338&lt;&gt;"")*((IF($G$2:$G338="",99999999,$G$2:$G338))=IF($G338="",99999999,$G338))),"")</f>
        <v/>
      </c>
    </row>
    <row r="339" customFormat="false" ht="15" hidden="false" customHeight="false" outlineLevel="0" collapsed="false">
      <c r="A339" s="9"/>
      <c r="B339" s="9"/>
      <c r="C339" s="10" t="str">
        <f aca="false">IF($B339="","",IFERROR(INDEX('Client Master'!$C:$C,MATCH($B339,'Client Master'!$B:$B,0)),"Code not found"))</f>
        <v/>
      </c>
      <c r="D339" s="9"/>
      <c r="E339" s="9"/>
      <c r="F339" s="9"/>
      <c r="G339" s="11"/>
      <c r="H339" s="11"/>
      <c r="I339" s="9"/>
      <c r="J339" s="12"/>
      <c r="K339" s="11"/>
      <c r="L339" s="9"/>
      <c r="N339" s="0" t="str">
        <f aca="false">IF(AND($J339&gt;0,$K339="",$A339&lt;&gt;""),SUMPRODUCT(($J$2:$J$600&gt;0)*($K$2:$K$600="")*($A$2:$A$600&lt;&gt;"")*((IF($G$2:$G$600="",99999999,$G$2:$G$600))&lt;IF($G339="",99999999,$G339)))+SUMPRODUCT(($J$2:$J339&gt;0)*($K$2:$K339="")*($A$2:$A339&lt;&gt;"")*((IF($G$2:$G339="",99999999,$G$2:$G339))=IF($G339="",99999999,$G339))),"")</f>
        <v/>
      </c>
      <c r="O339" s="0" t="str">
        <f aca="false">IF(AND($F339="Not Started",$A339&lt;&gt;""),SUMPRODUCT(($F$2:$F$600="Not Started")*($A$2:$A$600&lt;&gt;"")*((IF($G$2:$G$600="",99999999,$G$2:$G$600))&lt;IF($G339="",99999999,$G339)))+SUMPRODUCT(($F$2:$F339="Not Started")*($A$2:$A339&lt;&gt;"")*((IF($G$2:$G339="",99999999,$G$2:$G339))=IF($G339="",99999999,$G339))),"")</f>
        <v/>
      </c>
      <c r="P339" s="0" t="str">
        <f aca="false">IF(AND(OR($F339="In Progress",$F339="Pending Client Data",$F339="Under Review"),$A339&lt;&gt;""),SUMPRODUCT((($F$2:$F$600="In Progress")+($F$2:$F$600="Pending Client Data")+($F$2:$F$600="Under Review"))*($A$2:$A$600&lt;&gt;"")*((IF($G$2:$G$600="",99999999,$G$2:$G$600))&lt;IF($G339="",99999999,$G339)))+SUMPRODUCT((($F$2:$F339="In Progress")+($F$2:$F339="Pending Client Data")+($F$2:$F339="Under Review"))*($A$2:$A339&lt;&gt;"")*((IF($G$2:$G339="",99999999,$G$2:$G339))=IF($G339="",99999999,$G339))),"")</f>
        <v/>
      </c>
    </row>
    <row r="340" customFormat="false" ht="15" hidden="false" customHeight="false" outlineLevel="0" collapsed="false">
      <c r="A340" s="9"/>
      <c r="B340" s="9"/>
      <c r="C340" s="10" t="str">
        <f aca="false">IF($B340="","",IFERROR(INDEX('Client Master'!$C:$C,MATCH($B340,'Client Master'!$B:$B,0)),"Code not found"))</f>
        <v/>
      </c>
      <c r="D340" s="9"/>
      <c r="E340" s="9"/>
      <c r="F340" s="9"/>
      <c r="G340" s="11"/>
      <c r="H340" s="11"/>
      <c r="I340" s="9"/>
      <c r="J340" s="12"/>
      <c r="K340" s="11"/>
      <c r="L340" s="9"/>
      <c r="N340" s="0" t="str">
        <f aca="false">IF(AND($J340&gt;0,$K340="",$A340&lt;&gt;""),SUMPRODUCT(($J$2:$J$600&gt;0)*($K$2:$K$600="")*($A$2:$A$600&lt;&gt;"")*((IF($G$2:$G$600="",99999999,$G$2:$G$600))&lt;IF($G340="",99999999,$G340)))+SUMPRODUCT(($J$2:$J340&gt;0)*($K$2:$K340="")*($A$2:$A340&lt;&gt;"")*((IF($G$2:$G340="",99999999,$G$2:$G340))=IF($G340="",99999999,$G340))),"")</f>
        <v/>
      </c>
      <c r="O340" s="0" t="str">
        <f aca="false">IF(AND($F340="Not Started",$A340&lt;&gt;""),SUMPRODUCT(($F$2:$F$600="Not Started")*($A$2:$A$600&lt;&gt;"")*((IF($G$2:$G$600="",99999999,$G$2:$G$600))&lt;IF($G340="",99999999,$G340)))+SUMPRODUCT(($F$2:$F340="Not Started")*($A$2:$A340&lt;&gt;"")*((IF($G$2:$G340="",99999999,$G$2:$G340))=IF($G340="",99999999,$G340))),"")</f>
        <v/>
      </c>
      <c r="P340" s="0" t="str">
        <f aca="false">IF(AND(OR($F340="In Progress",$F340="Pending Client Data",$F340="Under Review"),$A340&lt;&gt;""),SUMPRODUCT((($F$2:$F$600="In Progress")+($F$2:$F$600="Pending Client Data")+($F$2:$F$600="Under Review"))*($A$2:$A$600&lt;&gt;"")*((IF($G$2:$G$600="",99999999,$G$2:$G$600))&lt;IF($G340="",99999999,$G340)))+SUMPRODUCT((($F$2:$F340="In Progress")+($F$2:$F340="Pending Client Data")+($F$2:$F340="Under Review"))*($A$2:$A340&lt;&gt;"")*((IF($G$2:$G340="",99999999,$G$2:$G340))=IF($G340="",99999999,$G340))),"")</f>
        <v/>
      </c>
    </row>
    <row r="341" customFormat="false" ht="15" hidden="false" customHeight="false" outlineLevel="0" collapsed="false">
      <c r="A341" s="9"/>
      <c r="B341" s="9"/>
      <c r="C341" s="10" t="str">
        <f aca="false">IF($B341="","",IFERROR(INDEX('Client Master'!$C:$C,MATCH($B341,'Client Master'!$B:$B,0)),"Code not found"))</f>
        <v/>
      </c>
      <c r="D341" s="9"/>
      <c r="E341" s="9"/>
      <c r="F341" s="9"/>
      <c r="G341" s="11"/>
      <c r="H341" s="11"/>
      <c r="I341" s="9"/>
      <c r="J341" s="12"/>
      <c r="K341" s="11"/>
      <c r="L341" s="9"/>
      <c r="N341" s="0" t="str">
        <f aca="false">IF(AND($J341&gt;0,$K341="",$A341&lt;&gt;""),SUMPRODUCT(($J$2:$J$600&gt;0)*($K$2:$K$600="")*($A$2:$A$600&lt;&gt;"")*((IF($G$2:$G$600="",99999999,$G$2:$G$600))&lt;IF($G341="",99999999,$G341)))+SUMPRODUCT(($J$2:$J341&gt;0)*($K$2:$K341="")*($A$2:$A341&lt;&gt;"")*((IF($G$2:$G341="",99999999,$G$2:$G341))=IF($G341="",99999999,$G341))),"")</f>
        <v/>
      </c>
      <c r="O341" s="0" t="str">
        <f aca="false">IF(AND($F341="Not Started",$A341&lt;&gt;""),SUMPRODUCT(($F$2:$F$600="Not Started")*($A$2:$A$600&lt;&gt;"")*((IF($G$2:$G$600="",99999999,$G$2:$G$600))&lt;IF($G341="",99999999,$G341)))+SUMPRODUCT(($F$2:$F341="Not Started")*($A$2:$A341&lt;&gt;"")*((IF($G$2:$G341="",99999999,$G$2:$G341))=IF($G341="",99999999,$G341))),"")</f>
        <v/>
      </c>
      <c r="P341" s="0" t="str">
        <f aca="false">IF(AND(OR($F341="In Progress",$F341="Pending Client Data",$F341="Under Review"),$A341&lt;&gt;""),SUMPRODUCT((($F$2:$F$600="In Progress")+($F$2:$F$600="Pending Client Data")+($F$2:$F$600="Under Review"))*($A$2:$A$600&lt;&gt;"")*((IF($G$2:$G$600="",99999999,$G$2:$G$600))&lt;IF($G341="",99999999,$G341)))+SUMPRODUCT((($F$2:$F341="In Progress")+($F$2:$F341="Pending Client Data")+($F$2:$F341="Under Review"))*($A$2:$A341&lt;&gt;"")*((IF($G$2:$G341="",99999999,$G$2:$G341))=IF($G341="",99999999,$G341))),"")</f>
        <v/>
      </c>
    </row>
    <row r="342" customFormat="false" ht="15" hidden="false" customHeight="false" outlineLevel="0" collapsed="false">
      <c r="A342" s="9"/>
      <c r="B342" s="9"/>
      <c r="C342" s="10" t="str">
        <f aca="false">IF($B342="","",IFERROR(INDEX('Client Master'!$C:$C,MATCH($B342,'Client Master'!$B:$B,0)),"Code not found"))</f>
        <v/>
      </c>
      <c r="D342" s="9"/>
      <c r="E342" s="9"/>
      <c r="F342" s="9"/>
      <c r="G342" s="11"/>
      <c r="H342" s="11"/>
      <c r="I342" s="9"/>
      <c r="J342" s="12"/>
      <c r="K342" s="11"/>
      <c r="L342" s="9"/>
      <c r="N342" s="0" t="str">
        <f aca="false">IF(AND($J342&gt;0,$K342="",$A342&lt;&gt;""),SUMPRODUCT(($J$2:$J$600&gt;0)*($K$2:$K$600="")*($A$2:$A$600&lt;&gt;"")*((IF($G$2:$G$600="",99999999,$G$2:$G$600))&lt;IF($G342="",99999999,$G342)))+SUMPRODUCT(($J$2:$J342&gt;0)*($K$2:$K342="")*($A$2:$A342&lt;&gt;"")*((IF($G$2:$G342="",99999999,$G$2:$G342))=IF($G342="",99999999,$G342))),"")</f>
        <v/>
      </c>
      <c r="O342" s="0" t="str">
        <f aca="false">IF(AND($F342="Not Started",$A342&lt;&gt;""),SUMPRODUCT(($F$2:$F$600="Not Started")*($A$2:$A$600&lt;&gt;"")*((IF($G$2:$G$600="",99999999,$G$2:$G$600))&lt;IF($G342="",99999999,$G342)))+SUMPRODUCT(($F$2:$F342="Not Started")*($A$2:$A342&lt;&gt;"")*((IF($G$2:$G342="",99999999,$G$2:$G342))=IF($G342="",99999999,$G342))),"")</f>
        <v/>
      </c>
      <c r="P342" s="0" t="str">
        <f aca="false">IF(AND(OR($F342="In Progress",$F342="Pending Client Data",$F342="Under Review"),$A342&lt;&gt;""),SUMPRODUCT((($F$2:$F$600="In Progress")+($F$2:$F$600="Pending Client Data")+($F$2:$F$600="Under Review"))*($A$2:$A$600&lt;&gt;"")*((IF($G$2:$G$600="",99999999,$G$2:$G$600))&lt;IF($G342="",99999999,$G342)))+SUMPRODUCT((($F$2:$F342="In Progress")+($F$2:$F342="Pending Client Data")+($F$2:$F342="Under Review"))*($A$2:$A342&lt;&gt;"")*((IF($G$2:$G342="",99999999,$G$2:$G342))=IF($G342="",99999999,$G342))),"")</f>
        <v/>
      </c>
    </row>
    <row r="343" customFormat="false" ht="15" hidden="false" customHeight="false" outlineLevel="0" collapsed="false">
      <c r="A343" s="9"/>
      <c r="B343" s="9"/>
      <c r="C343" s="10" t="str">
        <f aca="false">IF($B343="","",IFERROR(INDEX('Client Master'!$C:$C,MATCH($B343,'Client Master'!$B:$B,0)),"Code not found"))</f>
        <v/>
      </c>
      <c r="D343" s="9"/>
      <c r="E343" s="9"/>
      <c r="F343" s="9"/>
      <c r="G343" s="11"/>
      <c r="H343" s="11"/>
      <c r="I343" s="9"/>
      <c r="J343" s="12"/>
      <c r="K343" s="11"/>
      <c r="L343" s="9"/>
      <c r="N343" s="0" t="str">
        <f aca="false">IF(AND($J343&gt;0,$K343="",$A343&lt;&gt;""),SUMPRODUCT(($J$2:$J$600&gt;0)*($K$2:$K$600="")*($A$2:$A$600&lt;&gt;"")*((IF($G$2:$G$600="",99999999,$G$2:$G$600))&lt;IF($G343="",99999999,$G343)))+SUMPRODUCT(($J$2:$J343&gt;0)*($K$2:$K343="")*($A$2:$A343&lt;&gt;"")*((IF($G$2:$G343="",99999999,$G$2:$G343))=IF($G343="",99999999,$G343))),"")</f>
        <v/>
      </c>
      <c r="O343" s="0" t="str">
        <f aca="false">IF(AND($F343="Not Started",$A343&lt;&gt;""),SUMPRODUCT(($F$2:$F$600="Not Started")*($A$2:$A$600&lt;&gt;"")*((IF($G$2:$G$600="",99999999,$G$2:$G$600))&lt;IF($G343="",99999999,$G343)))+SUMPRODUCT(($F$2:$F343="Not Started")*($A$2:$A343&lt;&gt;"")*((IF($G$2:$G343="",99999999,$G$2:$G343))=IF($G343="",99999999,$G343))),"")</f>
        <v/>
      </c>
      <c r="P343" s="0" t="str">
        <f aca="false">IF(AND(OR($F343="In Progress",$F343="Pending Client Data",$F343="Under Review"),$A343&lt;&gt;""),SUMPRODUCT((($F$2:$F$600="In Progress")+($F$2:$F$600="Pending Client Data")+($F$2:$F$600="Under Review"))*($A$2:$A$600&lt;&gt;"")*((IF($G$2:$G$600="",99999999,$G$2:$G$600))&lt;IF($G343="",99999999,$G343)))+SUMPRODUCT((($F$2:$F343="In Progress")+($F$2:$F343="Pending Client Data")+($F$2:$F343="Under Review"))*($A$2:$A343&lt;&gt;"")*((IF($G$2:$G343="",99999999,$G$2:$G343))=IF($G343="",99999999,$G343))),"")</f>
        <v/>
      </c>
    </row>
    <row r="344" customFormat="false" ht="15" hidden="false" customHeight="false" outlineLevel="0" collapsed="false">
      <c r="A344" s="9"/>
      <c r="B344" s="9"/>
      <c r="C344" s="10" t="str">
        <f aca="false">IF($B344="","",IFERROR(INDEX('Client Master'!$C:$C,MATCH($B344,'Client Master'!$B:$B,0)),"Code not found"))</f>
        <v/>
      </c>
      <c r="D344" s="9"/>
      <c r="E344" s="9"/>
      <c r="F344" s="9"/>
      <c r="G344" s="11"/>
      <c r="H344" s="11"/>
      <c r="I344" s="9"/>
      <c r="J344" s="12"/>
      <c r="K344" s="11"/>
      <c r="L344" s="9"/>
      <c r="N344" s="0" t="str">
        <f aca="false">IF(AND($J344&gt;0,$K344="",$A344&lt;&gt;""),SUMPRODUCT(($J$2:$J$600&gt;0)*($K$2:$K$600="")*($A$2:$A$600&lt;&gt;"")*((IF($G$2:$G$600="",99999999,$G$2:$G$600))&lt;IF($G344="",99999999,$G344)))+SUMPRODUCT(($J$2:$J344&gt;0)*($K$2:$K344="")*($A$2:$A344&lt;&gt;"")*((IF($G$2:$G344="",99999999,$G$2:$G344))=IF($G344="",99999999,$G344))),"")</f>
        <v/>
      </c>
      <c r="O344" s="0" t="str">
        <f aca="false">IF(AND($F344="Not Started",$A344&lt;&gt;""),SUMPRODUCT(($F$2:$F$600="Not Started")*($A$2:$A$600&lt;&gt;"")*((IF($G$2:$G$600="",99999999,$G$2:$G$600))&lt;IF($G344="",99999999,$G344)))+SUMPRODUCT(($F$2:$F344="Not Started")*($A$2:$A344&lt;&gt;"")*((IF($G$2:$G344="",99999999,$G$2:$G344))=IF($G344="",99999999,$G344))),"")</f>
        <v/>
      </c>
      <c r="P344" s="0" t="str">
        <f aca="false">IF(AND(OR($F344="In Progress",$F344="Pending Client Data",$F344="Under Review"),$A344&lt;&gt;""),SUMPRODUCT((($F$2:$F$600="In Progress")+($F$2:$F$600="Pending Client Data")+($F$2:$F$600="Under Review"))*($A$2:$A$600&lt;&gt;"")*((IF($G$2:$G$600="",99999999,$G$2:$G$600))&lt;IF($G344="",99999999,$G344)))+SUMPRODUCT((($F$2:$F344="In Progress")+($F$2:$F344="Pending Client Data")+($F$2:$F344="Under Review"))*($A$2:$A344&lt;&gt;"")*((IF($G$2:$G344="",99999999,$G$2:$G344))=IF($G344="",99999999,$G344))),"")</f>
        <v/>
      </c>
    </row>
    <row r="345" customFormat="false" ht="15" hidden="false" customHeight="false" outlineLevel="0" collapsed="false">
      <c r="A345" s="9"/>
      <c r="B345" s="9"/>
      <c r="C345" s="10" t="str">
        <f aca="false">IF($B345="","",IFERROR(INDEX('Client Master'!$C:$C,MATCH($B345,'Client Master'!$B:$B,0)),"Code not found"))</f>
        <v/>
      </c>
      <c r="D345" s="9"/>
      <c r="E345" s="9"/>
      <c r="F345" s="9"/>
      <c r="G345" s="11"/>
      <c r="H345" s="11"/>
      <c r="I345" s="9"/>
      <c r="J345" s="12"/>
      <c r="K345" s="11"/>
      <c r="L345" s="9"/>
      <c r="N345" s="0" t="str">
        <f aca="false">IF(AND($J345&gt;0,$K345="",$A345&lt;&gt;""),SUMPRODUCT(($J$2:$J$600&gt;0)*($K$2:$K$600="")*($A$2:$A$600&lt;&gt;"")*((IF($G$2:$G$600="",99999999,$G$2:$G$600))&lt;IF($G345="",99999999,$G345)))+SUMPRODUCT(($J$2:$J345&gt;0)*($K$2:$K345="")*($A$2:$A345&lt;&gt;"")*((IF($G$2:$G345="",99999999,$G$2:$G345))=IF($G345="",99999999,$G345))),"")</f>
        <v/>
      </c>
      <c r="O345" s="0" t="str">
        <f aca="false">IF(AND($F345="Not Started",$A345&lt;&gt;""),SUMPRODUCT(($F$2:$F$600="Not Started")*($A$2:$A$600&lt;&gt;"")*((IF($G$2:$G$600="",99999999,$G$2:$G$600))&lt;IF($G345="",99999999,$G345)))+SUMPRODUCT(($F$2:$F345="Not Started")*($A$2:$A345&lt;&gt;"")*((IF($G$2:$G345="",99999999,$G$2:$G345))=IF($G345="",99999999,$G345))),"")</f>
        <v/>
      </c>
      <c r="P345" s="0" t="str">
        <f aca="false">IF(AND(OR($F345="In Progress",$F345="Pending Client Data",$F345="Under Review"),$A345&lt;&gt;""),SUMPRODUCT((($F$2:$F$600="In Progress")+($F$2:$F$600="Pending Client Data")+($F$2:$F$600="Under Review"))*($A$2:$A$600&lt;&gt;"")*((IF($G$2:$G$600="",99999999,$G$2:$G$600))&lt;IF($G345="",99999999,$G345)))+SUMPRODUCT((($F$2:$F345="In Progress")+($F$2:$F345="Pending Client Data")+($F$2:$F345="Under Review"))*($A$2:$A345&lt;&gt;"")*((IF($G$2:$G345="",99999999,$G$2:$G345))=IF($G345="",99999999,$G345))),"")</f>
        <v/>
      </c>
    </row>
    <row r="346" customFormat="false" ht="15" hidden="false" customHeight="false" outlineLevel="0" collapsed="false">
      <c r="A346" s="9"/>
      <c r="B346" s="9"/>
      <c r="C346" s="10" t="str">
        <f aca="false">IF($B346="","",IFERROR(INDEX('Client Master'!$C:$C,MATCH($B346,'Client Master'!$B:$B,0)),"Code not found"))</f>
        <v/>
      </c>
      <c r="D346" s="9"/>
      <c r="E346" s="9"/>
      <c r="F346" s="9"/>
      <c r="G346" s="11"/>
      <c r="H346" s="11"/>
      <c r="I346" s="9"/>
      <c r="J346" s="12"/>
      <c r="K346" s="11"/>
      <c r="L346" s="9"/>
      <c r="N346" s="0" t="str">
        <f aca="false">IF(AND($J346&gt;0,$K346="",$A346&lt;&gt;""),SUMPRODUCT(($J$2:$J$600&gt;0)*($K$2:$K$600="")*($A$2:$A$600&lt;&gt;"")*((IF($G$2:$G$600="",99999999,$G$2:$G$600))&lt;IF($G346="",99999999,$G346)))+SUMPRODUCT(($J$2:$J346&gt;0)*($K$2:$K346="")*($A$2:$A346&lt;&gt;"")*((IF($G$2:$G346="",99999999,$G$2:$G346))=IF($G346="",99999999,$G346))),"")</f>
        <v/>
      </c>
      <c r="O346" s="0" t="str">
        <f aca="false">IF(AND($F346="Not Started",$A346&lt;&gt;""),SUMPRODUCT(($F$2:$F$600="Not Started")*($A$2:$A$600&lt;&gt;"")*((IF($G$2:$G$600="",99999999,$G$2:$G$600))&lt;IF($G346="",99999999,$G346)))+SUMPRODUCT(($F$2:$F346="Not Started")*($A$2:$A346&lt;&gt;"")*((IF($G$2:$G346="",99999999,$G$2:$G346))=IF($G346="",99999999,$G346))),"")</f>
        <v/>
      </c>
      <c r="P346" s="0" t="str">
        <f aca="false">IF(AND(OR($F346="In Progress",$F346="Pending Client Data",$F346="Under Review"),$A346&lt;&gt;""),SUMPRODUCT((($F$2:$F$600="In Progress")+($F$2:$F$600="Pending Client Data")+($F$2:$F$600="Under Review"))*($A$2:$A$600&lt;&gt;"")*((IF($G$2:$G$600="",99999999,$G$2:$G$600))&lt;IF($G346="",99999999,$G346)))+SUMPRODUCT((($F$2:$F346="In Progress")+($F$2:$F346="Pending Client Data")+($F$2:$F346="Under Review"))*($A$2:$A346&lt;&gt;"")*((IF($G$2:$G346="",99999999,$G$2:$G346))=IF($G346="",99999999,$G346))),"")</f>
        <v/>
      </c>
    </row>
    <row r="347" customFormat="false" ht="15" hidden="false" customHeight="false" outlineLevel="0" collapsed="false">
      <c r="A347" s="9"/>
      <c r="B347" s="9"/>
      <c r="C347" s="10" t="str">
        <f aca="false">IF($B347="","",IFERROR(INDEX('Client Master'!$C:$C,MATCH($B347,'Client Master'!$B:$B,0)),"Code not found"))</f>
        <v/>
      </c>
      <c r="D347" s="9"/>
      <c r="E347" s="9"/>
      <c r="F347" s="9"/>
      <c r="G347" s="11"/>
      <c r="H347" s="11"/>
      <c r="I347" s="9"/>
      <c r="J347" s="12"/>
      <c r="K347" s="11"/>
      <c r="L347" s="9"/>
      <c r="N347" s="0" t="str">
        <f aca="false">IF(AND($J347&gt;0,$K347="",$A347&lt;&gt;""),SUMPRODUCT(($J$2:$J$600&gt;0)*($K$2:$K$600="")*($A$2:$A$600&lt;&gt;"")*((IF($G$2:$G$600="",99999999,$G$2:$G$600))&lt;IF($G347="",99999999,$G347)))+SUMPRODUCT(($J$2:$J347&gt;0)*($K$2:$K347="")*($A$2:$A347&lt;&gt;"")*((IF($G$2:$G347="",99999999,$G$2:$G347))=IF($G347="",99999999,$G347))),"")</f>
        <v/>
      </c>
      <c r="O347" s="0" t="str">
        <f aca="false">IF(AND($F347="Not Started",$A347&lt;&gt;""),SUMPRODUCT(($F$2:$F$600="Not Started")*($A$2:$A$600&lt;&gt;"")*((IF($G$2:$G$600="",99999999,$G$2:$G$600))&lt;IF($G347="",99999999,$G347)))+SUMPRODUCT(($F$2:$F347="Not Started")*($A$2:$A347&lt;&gt;"")*((IF($G$2:$G347="",99999999,$G$2:$G347))=IF($G347="",99999999,$G347))),"")</f>
        <v/>
      </c>
      <c r="P347" s="0" t="str">
        <f aca="false">IF(AND(OR($F347="In Progress",$F347="Pending Client Data",$F347="Under Review"),$A347&lt;&gt;""),SUMPRODUCT((($F$2:$F$600="In Progress")+($F$2:$F$600="Pending Client Data")+($F$2:$F$600="Under Review"))*($A$2:$A$600&lt;&gt;"")*((IF($G$2:$G$600="",99999999,$G$2:$G$600))&lt;IF($G347="",99999999,$G347)))+SUMPRODUCT((($F$2:$F347="In Progress")+($F$2:$F347="Pending Client Data")+($F$2:$F347="Under Review"))*($A$2:$A347&lt;&gt;"")*((IF($G$2:$G347="",99999999,$G$2:$G347))=IF($G347="",99999999,$G347))),"")</f>
        <v/>
      </c>
    </row>
    <row r="348" customFormat="false" ht="15" hidden="false" customHeight="false" outlineLevel="0" collapsed="false">
      <c r="A348" s="9"/>
      <c r="B348" s="9"/>
      <c r="C348" s="10" t="str">
        <f aca="false">IF($B348="","",IFERROR(INDEX('Client Master'!$C:$C,MATCH($B348,'Client Master'!$B:$B,0)),"Code not found"))</f>
        <v/>
      </c>
      <c r="D348" s="9"/>
      <c r="E348" s="9"/>
      <c r="F348" s="9"/>
      <c r="G348" s="11"/>
      <c r="H348" s="11"/>
      <c r="I348" s="9"/>
      <c r="J348" s="12"/>
      <c r="K348" s="11"/>
      <c r="L348" s="9"/>
      <c r="N348" s="0" t="str">
        <f aca="false">IF(AND($J348&gt;0,$K348="",$A348&lt;&gt;""),SUMPRODUCT(($J$2:$J$600&gt;0)*($K$2:$K$600="")*($A$2:$A$600&lt;&gt;"")*((IF($G$2:$G$600="",99999999,$G$2:$G$600))&lt;IF($G348="",99999999,$G348)))+SUMPRODUCT(($J$2:$J348&gt;0)*($K$2:$K348="")*($A$2:$A348&lt;&gt;"")*((IF($G$2:$G348="",99999999,$G$2:$G348))=IF($G348="",99999999,$G348))),"")</f>
        <v/>
      </c>
      <c r="O348" s="0" t="str">
        <f aca="false">IF(AND($F348="Not Started",$A348&lt;&gt;""),SUMPRODUCT(($F$2:$F$600="Not Started")*($A$2:$A$600&lt;&gt;"")*((IF($G$2:$G$600="",99999999,$G$2:$G$600))&lt;IF($G348="",99999999,$G348)))+SUMPRODUCT(($F$2:$F348="Not Started")*($A$2:$A348&lt;&gt;"")*((IF($G$2:$G348="",99999999,$G$2:$G348))=IF($G348="",99999999,$G348))),"")</f>
        <v/>
      </c>
      <c r="P348" s="0" t="str">
        <f aca="false">IF(AND(OR($F348="In Progress",$F348="Pending Client Data",$F348="Under Review"),$A348&lt;&gt;""),SUMPRODUCT((($F$2:$F$600="In Progress")+($F$2:$F$600="Pending Client Data")+($F$2:$F$600="Under Review"))*($A$2:$A$600&lt;&gt;"")*((IF($G$2:$G$600="",99999999,$G$2:$G$600))&lt;IF($G348="",99999999,$G348)))+SUMPRODUCT((($F$2:$F348="In Progress")+($F$2:$F348="Pending Client Data")+($F$2:$F348="Under Review"))*($A$2:$A348&lt;&gt;"")*((IF($G$2:$G348="",99999999,$G$2:$G348))=IF($G348="",99999999,$G348))),"")</f>
        <v/>
      </c>
    </row>
    <row r="349" customFormat="false" ht="15" hidden="false" customHeight="false" outlineLevel="0" collapsed="false">
      <c r="A349" s="9"/>
      <c r="B349" s="9"/>
      <c r="C349" s="10" t="str">
        <f aca="false">IF($B349="","",IFERROR(INDEX('Client Master'!$C:$C,MATCH($B349,'Client Master'!$B:$B,0)),"Code not found"))</f>
        <v/>
      </c>
      <c r="D349" s="9"/>
      <c r="E349" s="9"/>
      <c r="F349" s="9"/>
      <c r="G349" s="11"/>
      <c r="H349" s="11"/>
      <c r="I349" s="9"/>
      <c r="J349" s="12"/>
      <c r="K349" s="11"/>
      <c r="L349" s="9"/>
      <c r="N349" s="0" t="str">
        <f aca="false">IF(AND($J349&gt;0,$K349="",$A349&lt;&gt;""),SUMPRODUCT(($J$2:$J$600&gt;0)*($K$2:$K$600="")*($A$2:$A$600&lt;&gt;"")*((IF($G$2:$G$600="",99999999,$G$2:$G$600))&lt;IF($G349="",99999999,$G349)))+SUMPRODUCT(($J$2:$J349&gt;0)*($K$2:$K349="")*($A$2:$A349&lt;&gt;"")*((IF($G$2:$G349="",99999999,$G$2:$G349))=IF($G349="",99999999,$G349))),"")</f>
        <v/>
      </c>
      <c r="O349" s="0" t="str">
        <f aca="false">IF(AND($F349="Not Started",$A349&lt;&gt;""),SUMPRODUCT(($F$2:$F$600="Not Started")*($A$2:$A$600&lt;&gt;"")*((IF($G$2:$G$600="",99999999,$G$2:$G$600))&lt;IF($G349="",99999999,$G349)))+SUMPRODUCT(($F$2:$F349="Not Started")*($A$2:$A349&lt;&gt;"")*((IF($G$2:$G349="",99999999,$G$2:$G349))=IF($G349="",99999999,$G349))),"")</f>
        <v/>
      </c>
      <c r="P349" s="0" t="str">
        <f aca="false">IF(AND(OR($F349="In Progress",$F349="Pending Client Data",$F349="Under Review"),$A349&lt;&gt;""),SUMPRODUCT((($F$2:$F$600="In Progress")+($F$2:$F$600="Pending Client Data")+($F$2:$F$600="Under Review"))*($A$2:$A$600&lt;&gt;"")*((IF($G$2:$G$600="",99999999,$G$2:$G$600))&lt;IF($G349="",99999999,$G349)))+SUMPRODUCT((($F$2:$F349="In Progress")+($F$2:$F349="Pending Client Data")+($F$2:$F349="Under Review"))*($A$2:$A349&lt;&gt;"")*((IF($G$2:$G349="",99999999,$G$2:$G349))=IF($G349="",99999999,$G349))),"")</f>
        <v/>
      </c>
    </row>
    <row r="350" customFormat="false" ht="15" hidden="false" customHeight="false" outlineLevel="0" collapsed="false">
      <c r="A350" s="9"/>
      <c r="B350" s="9"/>
      <c r="C350" s="10" t="str">
        <f aca="false">IF($B350="","",IFERROR(INDEX('Client Master'!$C:$C,MATCH($B350,'Client Master'!$B:$B,0)),"Code not found"))</f>
        <v/>
      </c>
      <c r="D350" s="9"/>
      <c r="E350" s="9"/>
      <c r="F350" s="9"/>
      <c r="G350" s="11"/>
      <c r="H350" s="11"/>
      <c r="I350" s="9"/>
      <c r="J350" s="12"/>
      <c r="K350" s="11"/>
      <c r="L350" s="9"/>
      <c r="N350" s="0" t="str">
        <f aca="false">IF(AND($J350&gt;0,$K350="",$A350&lt;&gt;""),SUMPRODUCT(($J$2:$J$600&gt;0)*($K$2:$K$600="")*($A$2:$A$600&lt;&gt;"")*((IF($G$2:$G$600="",99999999,$G$2:$G$600))&lt;IF($G350="",99999999,$G350)))+SUMPRODUCT(($J$2:$J350&gt;0)*($K$2:$K350="")*($A$2:$A350&lt;&gt;"")*((IF($G$2:$G350="",99999999,$G$2:$G350))=IF($G350="",99999999,$G350))),"")</f>
        <v/>
      </c>
      <c r="O350" s="0" t="str">
        <f aca="false">IF(AND($F350="Not Started",$A350&lt;&gt;""),SUMPRODUCT(($F$2:$F$600="Not Started")*($A$2:$A$600&lt;&gt;"")*((IF($G$2:$G$600="",99999999,$G$2:$G$600))&lt;IF($G350="",99999999,$G350)))+SUMPRODUCT(($F$2:$F350="Not Started")*($A$2:$A350&lt;&gt;"")*((IF($G$2:$G350="",99999999,$G$2:$G350))=IF($G350="",99999999,$G350))),"")</f>
        <v/>
      </c>
      <c r="P350" s="0" t="str">
        <f aca="false">IF(AND(OR($F350="In Progress",$F350="Pending Client Data",$F350="Under Review"),$A350&lt;&gt;""),SUMPRODUCT((($F$2:$F$600="In Progress")+($F$2:$F$600="Pending Client Data")+($F$2:$F$600="Under Review"))*($A$2:$A$600&lt;&gt;"")*((IF($G$2:$G$600="",99999999,$G$2:$G$600))&lt;IF($G350="",99999999,$G350)))+SUMPRODUCT((($F$2:$F350="In Progress")+($F$2:$F350="Pending Client Data")+($F$2:$F350="Under Review"))*($A$2:$A350&lt;&gt;"")*((IF($G$2:$G350="",99999999,$G$2:$G350))=IF($G350="",99999999,$G350))),"")</f>
        <v/>
      </c>
    </row>
    <row r="351" customFormat="false" ht="15" hidden="false" customHeight="false" outlineLevel="0" collapsed="false">
      <c r="A351" s="9"/>
      <c r="B351" s="9"/>
      <c r="C351" s="10" t="str">
        <f aca="false">IF($B351="","",IFERROR(INDEX('Client Master'!$C:$C,MATCH($B351,'Client Master'!$B:$B,0)),"Code not found"))</f>
        <v/>
      </c>
      <c r="D351" s="9"/>
      <c r="E351" s="9"/>
      <c r="F351" s="9"/>
      <c r="G351" s="11"/>
      <c r="H351" s="11"/>
      <c r="I351" s="9"/>
      <c r="J351" s="12"/>
      <c r="K351" s="11"/>
      <c r="L351" s="9"/>
      <c r="N351" s="0" t="str">
        <f aca="false">IF(AND($J351&gt;0,$K351="",$A351&lt;&gt;""),SUMPRODUCT(($J$2:$J$600&gt;0)*($K$2:$K$600="")*($A$2:$A$600&lt;&gt;"")*((IF($G$2:$G$600="",99999999,$G$2:$G$600))&lt;IF($G351="",99999999,$G351)))+SUMPRODUCT(($J$2:$J351&gt;0)*($K$2:$K351="")*($A$2:$A351&lt;&gt;"")*((IF($G$2:$G351="",99999999,$G$2:$G351))=IF($G351="",99999999,$G351))),"")</f>
        <v/>
      </c>
      <c r="O351" s="0" t="str">
        <f aca="false">IF(AND($F351="Not Started",$A351&lt;&gt;""),SUMPRODUCT(($F$2:$F$600="Not Started")*($A$2:$A$600&lt;&gt;"")*((IF($G$2:$G$600="",99999999,$G$2:$G$600))&lt;IF($G351="",99999999,$G351)))+SUMPRODUCT(($F$2:$F351="Not Started")*($A$2:$A351&lt;&gt;"")*((IF($G$2:$G351="",99999999,$G$2:$G351))=IF($G351="",99999999,$G351))),"")</f>
        <v/>
      </c>
      <c r="P351" s="0" t="str">
        <f aca="false">IF(AND(OR($F351="In Progress",$F351="Pending Client Data",$F351="Under Review"),$A351&lt;&gt;""),SUMPRODUCT((($F$2:$F$600="In Progress")+($F$2:$F$600="Pending Client Data")+($F$2:$F$600="Under Review"))*($A$2:$A$600&lt;&gt;"")*((IF($G$2:$G$600="",99999999,$G$2:$G$600))&lt;IF($G351="",99999999,$G351)))+SUMPRODUCT((($F$2:$F351="In Progress")+($F$2:$F351="Pending Client Data")+($F$2:$F351="Under Review"))*($A$2:$A351&lt;&gt;"")*((IF($G$2:$G351="",99999999,$G$2:$G351))=IF($G351="",99999999,$G351))),"")</f>
        <v/>
      </c>
    </row>
    <row r="352" customFormat="false" ht="15" hidden="false" customHeight="false" outlineLevel="0" collapsed="false">
      <c r="A352" s="9"/>
      <c r="B352" s="9"/>
      <c r="C352" s="10" t="str">
        <f aca="false">IF($B352="","",IFERROR(INDEX('Client Master'!$C:$C,MATCH($B352,'Client Master'!$B:$B,0)),"Code not found"))</f>
        <v/>
      </c>
      <c r="D352" s="9"/>
      <c r="E352" s="9"/>
      <c r="F352" s="9"/>
      <c r="G352" s="11"/>
      <c r="H352" s="11"/>
      <c r="I352" s="9"/>
      <c r="J352" s="12"/>
      <c r="K352" s="11"/>
      <c r="L352" s="9"/>
      <c r="N352" s="0" t="str">
        <f aca="false">IF(AND($J352&gt;0,$K352="",$A352&lt;&gt;""),SUMPRODUCT(($J$2:$J$600&gt;0)*($K$2:$K$600="")*($A$2:$A$600&lt;&gt;"")*((IF($G$2:$G$600="",99999999,$G$2:$G$600))&lt;IF($G352="",99999999,$G352)))+SUMPRODUCT(($J$2:$J352&gt;0)*($K$2:$K352="")*($A$2:$A352&lt;&gt;"")*((IF($G$2:$G352="",99999999,$G$2:$G352))=IF($G352="",99999999,$G352))),"")</f>
        <v/>
      </c>
      <c r="O352" s="0" t="str">
        <f aca="false">IF(AND($F352="Not Started",$A352&lt;&gt;""),SUMPRODUCT(($F$2:$F$600="Not Started")*($A$2:$A$600&lt;&gt;"")*((IF($G$2:$G$600="",99999999,$G$2:$G$600))&lt;IF($G352="",99999999,$G352)))+SUMPRODUCT(($F$2:$F352="Not Started")*($A$2:$A352&lt;&gt;"")*((IF($G$2:$G352="",99999999,$G$2:$G352))=IF($G352="",99999999,$G352))),"")</f>
        <v/>
      </c>
      <c r="P352" s="0" t="str">
        <f aca="false">IF(AND(OR($F352="In Progress",$F352="Pending Client Data",$F352="Under Review"),$A352&lt;&gt;""),SUMPRODUCT((($F$2:$F$600="In Progress")+($F$2:$F$600="Pending Client Data")+($F$2:$F$600="Under Review"))*($A$2:$A$600&lt;&gt;"")*((IF($G$2:$G$600="",99999999,$G$2:$G$600))&lt;IF($G352="",99999999,$G352)))+SUMPRODUCT((($F$2:$F352="In Progress")+($F$2:$F352="Pending Client Data")+($F$2:$F352="Under Review"))*($A$2:$A352&lt;&gt;"")*((IF($G$2:$G352="",99999999,$G$2:$G352))=IF($G352="",99999999,$G352))),"")</f>
        <v/>
      </c>
    </row>
    <row r="353" customFormat="false" ht="15" hidden="false" customHeight="false" outlineLevel="0" collapsed="false">
      <c r="A353" s="9"/>
      <c r="B353" s="9"/>
      <c r="C353" s="10" t="str">
        <f aca="false">IF($B353="","",IFERROR(INDEX('Client Master'!$C:$C,MATCH($B353,'Client Master'!$B:$B,0)),"Code not found"))</f>
        <v/>
      </c>
      <c r="D353" s="9"/>
      <c r="E353" s="9"/>
      <c r="F353" s="9"/>
      <c r="G353" s="11"/>
      <c r="H353" s="11"/>
      <c r="I353" s="9"/>
      <c r="J353" s="12"/>
      <c r="K353" s="11"/>
      <c r="L353" s="9"/>
      <c r="N353" s="0" t="str">
        <f aca="false">IF(AND($J353&gt;0,$K353="",$A353&lt;&gt;""),SUMPRODUCT(($J$2:$J$600&gt;0)*($K$2:$K$600="")*($A$2:$A$600&lt;&gt;"")*((IF($G$2:$G$600="",99999999,$G$2:$G$600))&lt;IF($G353="",99999999,$G353)))+SUMPRODUCT(($J$2:$J353&gt;0)*($K$2:$K353="")*($A$2:$A353&lt;&gt;"")*((IF($G$2:$G353="",99999999,$G$2:$G353))=IF($G353="",99999999,$G353))),"")</f>
        <v/>
      </c>
      <c r="O353" s="0" t="str">
        <f aca="false">IF(AND($F353="Not Started",$A353&lt;&gt;""),SUMPRODUCT(($F$2:$F$600="Not Started")*($A$2:$A$600&lt;&gt;"")*((IF($G$2:$G$600="",99999999,$G$2:$G$600))&lt;IF($G353="",99999999,$G353)))+SUMPRODUCT(($F$2:$F353="Not Started")*($A$2:$A353&lt;&gt;"")*((IF($G$2:$G353="",99999999,$G$2:$G353))=IF($G353="",99999999,$G353))),"")</f>
        <v/>
      </c>
      <c r="P353" s="0" t="str">
        <f aca="false">IF(AND(OR($F353="In Progress",$F353="Pending Client Data",$F353="Under Review"),$A353&lt;&gt;""),SUMPRODUCT((($F$2:$F$600="In Progress")+($F$2:$F$600="Pending Client Data")+($F$2:$F$600="Under Review"))*($A$2:$A$600&lt;&gt;"")*((IF($G$2:$G$600="",99999999,$G$2:$G$600))&lt;IF($G353="",99999999,$G353)))+SUMPRODUCT((($F$2:$F353="In Progress")+($F$2:$F353="Pending Client Data")+($F$2:$F353="Under Review"))*($A$2:$A353&lt;&gt;"")*((IF($G$2:$G353="",99999999,$G$2:$G353))=IF($G353="",99999999,$G353))),"")</f>
        <v/>
      </c>
    </row>
    <row r="354" customFormat="false" ht="15" hidden="false" customHeight="false" outlineLevel="0" collapsed="false">
      <c r="A354" s="9"/>
      <c r="B354" s="9"/>
      <c r="C354" s="10" t="str">
        <f aca="false">IF($B354="","",IFERROR(INDEX('Client Master'!$C:$C,MATCH($B354,'Client Master'!$B:$B,0)),"Code not found"))</f>
        <v/>
      </c>
      <c r="D354" s="9"/>
      <c r="E354" s="9"/>
      <c r="F354" s="9"/>
      <c r="G354" s="11"/>
      <c r="H354" s="11"/>
      <c r="I354" s="9"/>
      <c r="J354" s="12"/>
      <c r="K354" s="11"/>
      <c r="L354" s="9"/>
      <c r="N354" s="0" t="str">
        <f aca="false">IF(AND($J354&gt;0,$K354="",$A354&lt;&gt;""),SUMPRODUCT(($J$2:$J$600&gt;0)*($K$2:$K$600="")*($A$2:$A$600&lt;&gt;"")*((IF($G$2:$G$600="",99999999,$G$2:$G$600))&lt;IF($G354="",99999999,$G354)))+SUMPRODUCT(($J$2:$J354&gt;0)*($K$2:$K354="")*($A$2:$A354&lt;&gt;"")*((IF($G$2:$G354="",99999999,$G$2:$G354))=IF($G354="",99999999,$G354))),"")</f>
        <v/>
      </c>
      <c r="O354" s="0" t="str">
        <f aca="false">IF(AND($F354="Not Started",$A354&lt;&gt;""),SUMPRODUCT(($F$2:$F$600="Not Started")*($A$2:$A$600&lt;&gt;"")*((IF($G$2:$G$600="",99999999,$G$2:$G$600))&lt;IF($G354="",99999999,$G354)))+SUMPRODUCT(($F$2:$F354="Not Started")*($A$2:$A354&lt;&gt;"")*((IF($G$2:$G354="",99999999,$G$2:$G354))=IF($G354="",99999999,$G354))),"")</f>
        <v/>
      </c>
      <c r="P354" s="0" t="str">
        <f aca="false">IF(AND(OR($F354="In Progress",$F354="Pending Client Data",$F354="Under Review"),$A354&lt;&gt;""),SUMPRODUCT((($F$2:$F$600="In Progress")+($F$2:$F$600="Pending Client Data")+($F$2:$F$600="Under Review"))*($A$2:$A$600&lt;&gt;"")*((IF($G$2:$G$600="",99999999,$G$2:$G$600))&lt;IF($G354="",99999999,$G354)))+SUMPRODUCT((($F$2:$F354="In Progress")+($F$2:$F354="Pending Client Data")+($F$2:$F354="Under Review"))*($A$2:$A354&lt;&gt;"")*((IF($G$2:$G354="",99999999,$G$2:$G354))=IF($G354="",99999999,$G354))),"")</f>
        <v/>
      </c>
    </row>
    <row r="355" customFormat="false" ht="15" hidden="false" customHeight="false" outlineLevel="0" collapsed="false">
      <c r="A355" s="9"/>
      <c r="B355" s="9"/>
      <c r="C355" s="10" t="str">
        <f aca="false">IF($B355="","",IFERROR(INDEX('Client Master'!$C:$C,MATCH($B355,'Client Master'!$B:$B,0)),"Code not found"))</f>
        <v/>
      </c>
      <c r="D355" s="9"/>
      <c r="E355" s="9"/>
      <c r="F355" s="9"/>
      <c r="G355" s="11"/>
      <c r="H355" s="11"/>
      <c r="I355" s="9"/>
      <c r="J355" s="12"/>
      <c r="K355" s="11"/>
      <c r="L355" s="9"/>
      <c r="N355" s="0" t="str">
        <f aca="false">IF(AND($J355&gt;0,$K355="",$A355&lt;&gt;""),SUMPRODUCT(($J$2:$J$600&gt;0)*($K$2:$K$600="")*($A$2:$A$600&lt;&gt;"")*((IF($G$2:$G$600="",99999999,$G$2:$G$600))&lt;IF($G355="",99999999,$G355)))+SUMPRODUCT(($J$2:$J355&gt;0)*($K$2:$K355="")*($A$2:$A355&lt;&gt;"")*((IF($G$2:$G355="",99999999,$G$2:$G355))=IF($G355="",99999999,$G355))),"")</f>
        <v/>
      </c>
      <c r="O355" s="0" t="str">
        <f aca="false">IF(AND($F355="Not Started",$A355&lt;&gt;""),SUMPRODUCT(($F$2:$F$600="Not Started")*($A$2:$A$600&lt;&gt;"")*((IF($G$2:$G$600="",99999999,$G$2:$G$600))&lt;IF($G355="",99999999,$G355)))+SUMPRODUCT(($F$2:$F355="Not Started")*($A$2:$A355&lt;&gt;"")*((IF($G$2:$G355="",99999999,$G$2:$G355))=IF($G355="",99999999,$G355))),"")</f>
        <v/>
      </c>
      <c r="P355" s="0" t="str">
        <f aca="false">IF(AND(OR($F355="In Progress",$F355="Pending Client Data",$F355="Under Review"),$A355&lt;&gt;""),SUMPRODUCT((($F$2:$F$600="In Progress")+($F$2:$F$600="Pending Client Data")+($F$2:$F$600="Under Review"))*($A$2:$A$600&lt;&gt;"")*((IF($G$2:$G$600="",99999999,$G$2:$G$600))&lt;IF($G355="",99999999,$G355)))+SUMPRODUCT((($F$2:$F355="In Progress")+($F$2:$F355="Pending Client Data")+($F$2:$F355="Under Review"))*($A$2:$A355&lt;&gt;"")*((IF($G$2:$G355="",99999999,$G$2:$G355))=IF($G355="",99999999,$G355))),"")</f>
        <v/>
      </c>
    </row>
    <row r="356" customFormat="false" ht="15" hidden="false" customHeight="false" outlineLevel="0" collapsed="false">
      <c r="A356" s="9"/>
      <c r="B356" s="9"/>
      <c r="C356" s="10" t="str">
        <f aca="false">IF($B356="","",IFERROR(INDEX('Client Master'!$C:$C,MATCH($B356,'Client Master'!$B:$B,0)),"Code not found"))</f>
        <v/>
      </c>
      <c r="D356" s="9"/>
      <c r="E356" s="9"/>
      <c r="F356" s="9"/>
      <c r="G356" s="11"/>
      <c r="H356" s="11"/>
      <c r="I356" s="9"/>
      <c r="J356" s="12"/>
      <c r="K356" s="11"/>
      <c r="L356" s="9"/>
      <c r="N356" s="0" t="str">
        <f aca="false">IF(AND($J356&gt;0,$K356="",$A356&lt;&gt;""),SUMPRODUCT(($J$2:$J$600&gt;0)*($K$2:$K$600="")*($A$2:$A$600&lt;&gt;"")*((IF($G$2:$G$600="",99999999,$G$2:$G$600))&lt;IF($G356="",99999999,$G356)))+SUMPRODUCT(($J$2:$J356&gt;0)*($K$2:$K356="")*($A$2:$A356&lt;&gt;"")*((IF($G$2:$G356="",99999999,$G$2:$G356))=IF($G356="",99999999,$G356))),"")</f>
        <v/>
      </c>
      <c r="O356" s="0" t="str">
        <f aca="false">IF(AND($F356="Not Started",$A356&lt;&gt;""),SUMPRODUCT(($F$2:$F$600="Not Started")*($A$2:$A$600&lt;&gt;"")*((IF($G$2:$G$600="",99999999,$G$2:$G$600))&lt;IF($G356="",99999999,$G356)))+SUMPRODUCT(($F$2:$F356="Not Started")*($A$2:$A356&lt;&gt;"")*((IF($G$2:$G356="",99999999,$G$2:$G356))=IF($G356="",99999999,$G356))),"")</f>
        <v/>
      </c>
      <c r="P356" s="0" t="str">
        <f aca="false">IF(AND(OR($F356="In Progress",$F356="Pending Client Data",$F356="Under Review"),$A356&lt;&gt;""),SUMPRODUCT((($F$2:$F$600="In Progress")+($F$2:$F$600="Pending Client Data")+($F$2:$F$600="Under Review"))*($A$2:$A$600&lt;&gt;"")*((IF($G$2:$G$600="",99999999,$G$2:$G$600))&lt;IF($G356="",99999999,$G356)))+SUMPRODUCT((($F$2:$F356="In Progress")+($F$2:$F356="Pending Client Data")+($F$2:$F356="Under Review"))*($A$2:$A356&lt;&gt;"")*((IF($G$2:$G356="",99999999,$G$2:$G356))=IF($G356="",99999999,$G356))),"")</f>
        <v/>
      </c>
    </row>
    <row r="357" customFormat="false" ht="15" hidden="false" customHeight="false" outlineLevel="0" collapsed="false">
      <c r="A357" s="9"/>
      <c r="B357" s="9"/>
      <c r="C357" s="10" t="str">
        <f aca="false">IF($B357="","",IFERROR(INDEX('Client Master'!$C:$C,MATCH($B357,'Client Master'!$B:$B,0)),"Code not found"))</f>
        <v/>
      </c>
      <c r="D357" s="9"/>
      <c r="E357" s="9"/>
      <c r="F357" s="9"/>
      <c r="G357" s="11"/>
      <c r="H357" s="11"/>
      <c r="I357" s="9"/>
      <c r="J357" s="12"/>
      <c r="K357" s="11"/>
      <c r="L357" s="9"/>
      <c r="N357" s="0" t="str">
        <f aca="false">IF(AND($J357&gt;0,$K357="",$A357&lt;&gt;""),SUMPRODUCT(($J$2:$J$600&gt;0)*($K$2:$K$600="")*($A$2:$A$600&lt;&gt;"")*((IF($G$2:$G$600="",99999999,$G$2:$G$600))&lt;IF($G357="",99999999,$G357)))+SUMPRODUCT(($J$2:$J357&gt;0)*($K$2:$K357="")*($A$2:$A357&lt;&gt;"")*((IF($G$2:$G357="",99999999,$G$2:$G357))=IF($G357="",99999999,$G357))),"")</f>
        <v/>
      </c>
      <c r="O357" s="0" t="str">
        <f aca="false">IF(AND($F357="Not Started",$A357&lt;&gt;""),SUMPRODUCT(($F$2:$F$600="Not Started")*($A$2:$A$600&lt;&gt;"")*((IF($G$2:$G$600="",99999999,$G$2:$G$600))&lt;IF($G357="",99999999,$G357)))+SUMPRODUCT(($F$2:$F357="Not Started")*($A$2:$A357&lt;&gt;"")*((IF($G$2:$G357="",99999999,$G$2:$G357))=IF($G357="",99999999,$G357))),"")</f>
        <v/>
      </c>
      <c r="P357" s="0" t="str">
        <f aca="false">IF(AND(OR($F357="In Progress",$F357="Pending Client Data",$F357="Under Review"),$A357&lt;&gt;""),SUMPRODUCT((($F$2:$F$600="In Progress")+($F$2:$F$600="Pending Client Data")+($F$2:$F$600="Under Review"))*($A$2:$A$600&lt;&gt;"")*((IF($G$2:$G$600="",99999999,$G$2:$G$600))&lt;IF($G357="",99999999,$G357)))+SUMPRODUCT((($F$2:$F357="In Progress")+($F$2:$F357="Pending Client Data")+($F$2:$F357="Under Review"))*($A$2:$A357&lt;&gt;"")*((IF($G$2:$G357="",99999999,$G$2:$G357))=IF($G357="",99999999,$G357))),"")</f>
        <v/>
      </c>
    </row>
    <row r="358" customFormat="false" ht="15" hidden="false" customHeight="false" outlineLevel="0" collapsed="false">
      <c r="A358" s="9"/>
      <c r="B358" s="9"/>
      <c r="C358" s="10" t="str">
        <f aca="false">IF($B358="","",IFERROR(INDEX('Client Master'!$C:$C,MATCH($B358,'Client Master'!$B:$B,0)),"Code not found"))</f>
        <v/>
      </c>
      <c r="D358" s="9"/>
      <c r="E358" s="9"/>
      <c r="F358" s="9"/>
      <c r="G358" s="11"/>
      <c r="H358" s="11"/>
      <c r="I358" s="9"/>
      <c r="J358" s="12"/>
      <c r="K358" s="11"/>
      <c r="L358" s="9"/>
      <c r="N358" s="0" t="str">
        <f aca="false">IF(AND($J358&gt;0,$K358="",$A358&lt;&gt;""),SUMPRODUCT(($J$2:$J$600&gt;0)*($K$2:$K$600="")*($A$2:$A$600&lt;&gt;"")*((IF($G$2:$G$600="",99999999,$G$2:$G$600))&lt;IF($G358="",99999999,$G358)))+SUMPRODUCT(($J$2:$J358&gt;0)*($K$2:$K358="")*($A$2:$A358&lt;&gt;"")*((IF($G$2:$G358="",99999999,$G$2:$G358))=IF($G358="",99999999,$G358))),"")</f>
        <v/>
      </c>
      <c r="O358" s="0" t="str">
        <f aca="false">IF(AND($F358="Not Started",$A358&lt;&gt;""),SUMPRODUCT(($F$2:$F$600="Not Started")*($A$2:$A$600&lt;&gt;"")*((IF($G$2:$G$600="",99999999,$G$2:$G$600))&lt;IF($G358="",99999999,$G358)))+SUMPRODUCT(($F$2:$F358="Not Started")*($A$2:$A358&lt;&gt;"")*((IF($G$2:$G358="",99999999,$G$2:$G358))=IF($G358="",99999999,$G358))),"")</f>
        <v/>
      </c>
      <c r="P358" s="0" t="str">
        <f aca="false">IF(AND(OR($F358="In Progress",$F358="Pending Client Data",$F358="Under Review"),$A358&lt;&gt;""),SUMPRODUCT((($F$2:$F$600="In Progress")+($F$2:$F$600="Pending Client Data")+($F$2:$F$600="Under Review"))*($A$2:$A$600&lt;&gt;"")*((IF($G$2:$G$600="",99999999,$G$2:$G$600))&lt;IF($G358="",99999999,$G358)))+SUMPRODUCT((($F$2:$F358="In Progress")+($F$2:$F358="Pending Client Data")+($F$2:$F358="Under Review"))*($A$2:$A358&lt;&gt;"")*((IF($G$2:$G358="",99999999,$G$2:$G358))=IF($G358="",99999999,$G358))),"")</f>
        <v/>
      </c>
    </row>
    <row r="359" customFormat="false" ht="15" hidden="false" customHeight="false" outlineLevel="0" collapsed="false">
      <c r="A359" s="9"/>
      <c r="B359" s="9"/>
      <c r="C359" s="10" t="str">
        <f aca="false">IF($B359="","",IFERROR(INDEX('Client Master'!$C:$C,MATCH($B359,'Client Master'!$B:$B,0)),"Code not found"))</f>
        <v/>
      </c>
      <c r="D359" s="9"/>
      <c r="E359" s="9"/>
      <c r="F359" s="9"/>
      <c r="G359" s="11"/>
      <c r="H359" s="11"/>
      <c r="I359" s="9"/>
      <c r="J359" s="12"/>
      <c r="K359" s="11"/>
      <c r="L359" s="9"/>
      <c r="N359" s="0" t="str">
        <f aca="false">IF(AND($J359&gt;0,$K359="",$A359&lt;&gt;""),SUMPRODUCT(($J$2:$J$600&gt;0)*($K$2:$K$600="")*($A$2:$A$600&lt;&gt;"")*((IF($G$2:$G$600="",99999999,$G$2:$G$600))&lt;IF($G359="",99999999,$G359)))+SUMPRODUCT(($J$2:$J359&gt;0)*($K$2:$K359="")*($A$2:$A359&lt;&gt;"")*((IF($G$2:$G359="",99999999,$G$2:$G359))=IF($G359="",99999999,$G359))),"")</f>
        <v/>
      </c>
      <c r="O359" s="0" t="str">
        <f aca="false">IF(AND($F359="Not Started",$A359&lt;&gt;""),SUMPRODUCT(($F$2:$F$600="Not Started")*($A$2:$A$600&lt;&gt;"")*((IF($G$2:$G$600="",99999999,$G$2:$G$600))&lt;IF($G359="",99999999,$G359)))+SUMPRODUCT(($F$2:$F359="Not Started")*($A$2:$A359&lt;&gt;"")*((IF($G$2:$G359="",99999999,$G$2:$G359))=IF($G359="",99999999,$G359))),"")</f>
        <v/>
      </c>
      <c r="P359" s="0" t="str">
        <f aca="false">IF(AND(OR($F359="In Progress",$F359="Pending Client Data",$F359="Under Review"),$A359&lt;&gt;""),SUMPRODUCT((($F$2:$F$600="In Progress")+($F$2:$F$600="Pending Client Data")+($F$2:$F$600="Under Review"))*($A$2:$A$600&lt;&gt;"")*((IF($G$2:$G$600="",99999999,$G$2:$G$600))&lt;IF($G359="",99999999,$G359)))+SUMPRODUCT((($F$2:$F359="In Progress")+($F$2:$F359="Pending Client Data")+($F$2:$F359="Under Review"))*($A$2:$A359&lt;&gt;"")*((IF($G$2:$G359="",99999999,$G$2:$G359))=IF($G359="",99999999,$G359))),"")</f>
        <v/>
      </c>
    </row>
    <row r="360" customFormat="false" ht="15" hidden="false" customHeight="false" outlineLevel="0" collapsed="false">
      <c r="A360" s="9"/>
      <c r="B360" s="9"/>
      <c r="C360" s="10" t="str">
        <f aca="false">IF($B360="","",IFERROR(INDEX('Client Master'!$C:$C,MATCH($B360,'Client Master'!$B:$B,0)),"Code not found"))</f>
        <v/>
      </c>
      <c r="D360" s="9"/>
      <c r="E360" s="9"/>
      <c r="F360" s="9"/>
      <c r="G360" s="11"/>
      <c r="H360" s="11"/>
      <c r="I360" s="9"/>
      <c r="J360" s="12"/>
      <c r="K360" s="11"/>
      <c r="L360" s="9"/>
      <c r="N360" s="0" t="str">
        <f aca="false">IF(AND($J360&gt;0,$K360="",$A360&lt;&gt;""),SUMPRODUCT(($J$2:$J$600&gt;0)*($K$2:$K$600="")*($A$2:$A$600&lt;&gt;"")*((IF($G$2:$G$600="",99999999,$G$2:$G$600))&lt;IF($G360="",99999999,$G360)))+SUMPRODUCT(($J$2:$J360&gt;0)*($K$2:$K360="")*($A$2:$A360&lt;&gt;"")*((IF($G$2:$G360="",99999999,$G$2:$G360))=IF($G360="",99999999,$G360))),"")</f>
        <v/>
      </c>
      <c r="O360" s="0" t="str">
        <f aca="false">IF(AND($F360="Not Started",$A360&lt;&gt;""),SUMPRODUCT(($F$2:$F$600="Not Started")*($A$2:$A$600&lt;&gt;"")*((IF($G$2:$G$600="",99999999,$G$2:$G$600))&lt;IF($G360="",99999999,$G360)))+SUMPRODUCT(($F$2:$F360="Not Started")*($A$2:$A360&lt;&gt;"")*((IF($G$2:$G360="",99999999,$G$2:$G360))=IF($G360="",99999999,$G360))),"")</f>
        <v/>
      </c>
      <c r="P360" s="0" t="str">
        <f aca="false">IF(AND(OR($F360="In Progress",$F360="Pending Client Data",$F360="Under Review"),$A360&lt;&gt;""),SUMPRODUCT((($F$2:$F$600="In Progress")+($F$2:$F$600="Pending Client Data")+($F$2:$F$600="Under Review"))*($A$2:$A$600&lt;&gt;"")*((IF($G$2:$G$600="",99999999,$G$2:$G$600))&lt;IF($G360="",99999999,$G360)))+SUMPRODUCT((($F$2:$F360="In Progress")+($F$2:$F360="Pending Client Data")+($F$2:$F360="Under Review"))*($A$2:$A360&lt;&gt;"")*((IF($G$2:$G360="",99999999,$G$2:$G360))=IF($G360="",99999999,$G360))),"")</f>
        <v/>
      </c>
    </row>
    <row r="361" customFormat="false" ht="15" hidden="false" customHeight="false" outlineLevel="0" collapsed="false">
      <c r="A361" s="9"/>
      <c r="B361" s="9"/>
      <c r="C361" s="10" t="str">
        <f aca="false">IF($B361="","",IFERROR(INDEX('Client Master'!$C:$C,MATCH($B361,'Client Master'!$B:$B,0)),"Code not found"))</f>
        <v/>
      </c>
      <c r="D361" s="9"/>
      <c r="E361" s="9"/>
      <c r="F361" s="9"/>
      <c r="G361" s="11"/>
      <c r="H361" s="11"/>
      <c r="I361" s="9"/>
      <c r="J361" s="12"/>
      <c r="K361" s="11"/>
      <c r="L361" s="9"/>
      <c r="N361" s="0" t="str">
        <f aca="false">IF(AND($J361&gt;0,$K361="",$A361&lt;&gt;""),SUMPRODUCT(($J$2:$J$600&gt;0)*($K$2:$K$600="")*($A$2:$A$600&lt;&gt;"")*((IF($G$2:$G$600="",99999999,$G$2:$G$600))&lt;IF($G361="",99999999,$G361)))+SUMPRODUCT(($J$2:$J361&gt;0)*($K$2:$K361="")*($A$2:$A361&lt;&gt;"")*((IF($G$2:$G361="",99999999,$G$2:$G361))=IF($G361="",99999999,$G361))),"")</f>
        <v/>
      </c>
      <c r="O361" s="0" t="str">
        <f aca="false">IF(AND($F361="Not Started",$A361&lt;&gt;""),SUMPRODUCT(($F$2:$F$600="Not Started")*($A$2:$A$600&lt;&gt;"")*((IF($G$2:$G$600="",99999999,$G$2:$G$600))&lt;IF($G361="",99999999,$G361)))+SUMPRODUCT(($F$2:$F361="Not Started")*($A$2:$A361&lt;&gt;"")*((IF($G$2:$G361="",99999999,$G$2:$G361))=IF($G361="",99999999,$G361))),"")</f>
        <v/>
      </c>
      <c r="P361" s="0" t="str">
        <f aca="false">IF(AND(OR($F361="In Progress",$F361="Pending Client Data",$F361="Under Review"),$A361&lt;&gt;""),SUMPRODUCT((($F$2:$F$600="In Progress")+($F$2:$F$600="Pending Client Data")+($F$2:$F$600="Under Review"))*($A$2:$A$600&lt;&gt;"")*((IF($G$2:$G$600="",99999999,$G$2:$G$600))&lt;IF($G361="",99999999,$G361)))+SUMPRODUCT((($F$2:$F361="In Progress")+($F$2:$F361="Pending Client Data")+($F$2:$F361="Under Review"))*($A$2:$A361&lt;&gt;"")*((IF($G$2:$G361="",99999999,$G$2:$G361))=IF($G361="",99999999,$G361))),"")</f>
        <v/>
      </c>
    </row>
    <row r="362" customFormat="false" ht="15" hidden="false" customHeight="false" outlineLevel="0" collapsed="false">
      <c r="A362" s="9"/>
      <c r="B362" s="9"/>
      <c r="C362" s="10" t="str">
        <f aca="false">IF($B362="","",IFERROR(INDEX('Client Master'!$C:$C,MATCH($B362,'Client Master'!$B:$B,0)),"Code not found"))</f>
        <v/>
      </c>
      <c r="D362" s="9"/>
      <c r="E362" s="9"/>
      <c r="F362" s="9"/>
      <c r="G362" s="11"/>
      <c r="H362" s="11"/>
      <c r="I362" s="9"/>
      <c r="J362" s="12"/>
      <c r="K362" s="11"/>
      <c r="L362" s="9"/>
      <c r="N362" s="0" t="str">
        <f aca="false">IF(AND($J362&gt;0,$K362="",$A362&lt;&gt;""),SUMPRODUCT(($J$2:$J$600&gt;0)*($K$2:$K$600="")*($A$2:$A$600&lt;&gt;"")*((IF($G$2:$G$600="",99999999,$G$2:$G$600))&lt;IF($G362="",99999999,$G362)))+SUMPRODUCT(($J$2:$J362&gt;0)*($K$2:$K362="")*($A$2:$A362&lt;&gt;"")*((IF($G$2:$G362="",99999999,$G$2:$G362))=IF($G362="",99999999,$G362))),"")</f>
        <v/>
      </c>
      <c r="O362" s="0" t="str">
        <f aca="false">IF(AND($F362="Not Started",$A362&lt;&gt;""),SUMPRODUCT(($F$2:$F$600="Not Started")*($A$2:$A$600&lt;&gt;"")*((IF($G$2:$G$600="",99999999,$G$2:$G$600))&lt;IF($G362="",99999999,$G362)))+SUMPRODUCT(($F$2:$F362="Not Started")*($A$2:$A362&lt;&gt;"")*((IF($G$2:$G362="",99999999,$G$2:$G362))=IF($G362="",99999999,$G362))),"")</f>
        <v/>
      </c>
      <c r="P362" s="0" t="str">
        <f aca="false">IF(AND(OR($F362="In Progress",$F362="Pending Client Data",$F362="Under Review"),$A362&lt;&gt;""),SUMPRODUCT((($F$2:$F$600="In Progress")+($F$2:$F$600="Pending Client Data")+($F$2:$F$600="Under Review"))*($A$2:$A$600&lt;&gt;"")*((IF($G$2:$G$600="",99999999,$G$2:$G$600))&lt;IF($G362="",99999999,$G362)))+SUMPRODUCT((($F$2:$F362="In Progress")+($F$2:$F362="Pending Client Data")+($F$2:$F362="Under Review"))*($A$2:$A362&lt;&gt;"")*((IF($G$2:$G362="",99999999,$G$2:$G362))=IF($G362="",99999999,$G362))),"")</f>
        <v/>
      </c>
    </row>
    <row r="363" customFormat="false" ht="15" hidden="false" customHeight="false" outlineLevel="0" collapsed="false">
      <c r="A363" s="9"/>
      <c r="B363" s="9"/>
      <c r="C363" s="10" t="str">
        <f aca="false">IF($B363="","",IFERROR(INDEX('Client Master'!$C:$C,MATCH($B363,'Client Master'!$B:$B,0)),"Code not found"))</f>
        <v/>
      </c>
      <c r="D363" s="9"/>
      <c r="E363" s="9"/>
      <c r="F363" s="9"/>
      <c r="G363" s="11"/>
      <c r="H363" s="11"/>
      <c r="I363" s="9"/>
      <c r="J363" s="12"/>
      <c r="K363" s="11"/>
      <c r="L363" s="9"/>
      <c r="N363" s="0" t="str">
        <f aca="false">IF(AND($J363&gt;0,$K363="",$A363&lt;&gt;""),SUMPRODUCT(($J$2:$J$600&gt;0)*($K$2:$K$600="")*($A$2:$A$600&lt;&gt;"")*((IF($G$2:$G$600="",99999999,$G$2:$G$600))&lt;IF($G363="",99999999,$G363)))+SUMPRODUCT(($J$2:$J363&gt;0)*($K$2:$K363="")*($A$2:$A363&lt;&gt;"")*((IF($G$2:$G363="",99999999,$G$2:$G363))=IF($G363="",99999999,$G363))),"")</f>
        <v/>
      </c>
      <c r="O363" s="0" t="str">
        <f aca="false">IF(AND($F363="Not Started",$A363&lt;&gt;""),SUMPRODUCT(($F$2:$F$600="Not Started")*($A$2:$A$600&lt;&gt;"")*((IF($G$2:$G$600="",99999999,$G$2:$G$600))&lt;IF($G363="",99999999,$G363)))+SUMPRODUCT(($F$2:$F363="Not Started")*($A$2:$A363&lt;&gt;"")*((IF($G$2:$G363="",99999999,$G$2:$G363))=IF($G363="",99999999,$G363))),"")</f>
        <v/>
      </c>
      <c r="P363" s="0" t="str">
        <f aca="false">IF(AND(OR($F363="In Progress",$F363="Pending Client Data",$F363="Under Review"),$A363&lt;&gt;""),SUMPRODUCT((($F$2:$F$600="In Progress")+($F$2:$F$600="Pending Client Data")+($F$2:$F$600="Under Review"))*($A$2:$A$600&lt;&gt;"")*((IF($G$2:$G$600="",99999999,$G$2:$G$600))&lt;IF($G363="",99999999,$G363)))+SUMPRODUCT((($F$2:$F363="In Progress")+($F$2:$F363="Pending Client Data")+($F$2:$F363="Under Review"))*($A$2:$A363&lt;&gt;"")*((IF($G$2:$G363="",99999999,$G$2:$G363))=IF($G363="",99999999,$G363))),"")</f>
        <v/>
      </c>
    </row>
    <row r="364" customFormat="false" ht="15" hidden="false" customHeight="false" outlineLevel="0" collapsed="false">
      <c r="A364" s="9"/>
      <c r="B364" s="9"/>
      <c r="C364" s="10" t="str">
        <f aca="false">IF($B364="","",IFERROR(INDEX('Client Master'!$C:$C,MATCH($B364,'Client Master'!$B:$B,0)),"Code not found"))</f>
        <v/>
      </c>
      <c r="D364" s="9"/>
      <c r="E364" s="9"/>
      <c r="F364" s="9"/>
      <c r="G364" s="11"/>
      <c r="H364" s="11"/>
      <c r="I364" s="9"/>
      <c r="J364" s="12"/>
      <c r="K364" s="11"/>
      <c r="L364" s="9"/>
      <c r="N364" s="0" t="str">
        <f aca="false">IF(AND($J364&gt;0,$K364="",$A364&lt;&gt;""),SUMPRODUCT(($J$2:$J$600&gt;0)*($K$2:$K$600="")*($A$2:$A$600&lt;&gt;"")*((IF($G$2:$G$600="",99999999,$G$2:$G$600))&lt;IF($G364="",99999999,$G364)))+SUMPRODUCT(($J$2:$J364&gt;0)*($K$2:$K364="")*($A$2:$A364&lt;&gt;"")*((IF($G$2:$G364="",99999999,$G$2:$G364))=IF($G364="",99999999,$G364))),"")</f>
        <v/>
      </c>
      <c r="O364" s="0" t="str">
        <f aca="false">IF(AND($F364="Not Started",$A364&lt;&gt;""),SUMPRODUCT(($F$2:$F$600="Not Started")*($A$2:$A$600&lt;&gt;"")*((IF($G$2:$G$600="",99999999,$G$2:$G$600))&lt;IF($G364="",99999999,$G364)))+SUMPRODUCT(($F$2:$F364="Not Started")*($A$2:$A364&lt;&gt;"")*((IF($G$2:$G364="",99999999,$G$2:$G364))=IF($G364="",99999999,$G364))),"")</f>
        <v/>
      </c>
      <c r="P364" s="0" t="str">
        <f aca="false">IF(AND(OR($F364="In Progress",$F364="Pending Client Data",$F364="Under Review"),$A364&lt;&gt;""),SUMPRODUCT((($F$2:$F$600="In Progress")+($F$2:$F$600="Pending Client Data")+($F$2:$F$600="Under Review"))*($A$2:$A$600&lt;&gt;"")*((IF($G$2:$G$600="",99999999,$G$2:$G$600))&lt;IF($G364="",99999999,$G364)))+SUMPRODUCT((($F$2:$F364="In Progress")+($F$2:$F364="Pending Client Data")+($F$2:$F364="Under Review"))*($A$2:$A364&lt;&gt;"")*((IF($G$2:$G364="",99999999,$G$2:$G364))=IF($G364="",99999999,$G364))),"")</f>
        <v/>
      </c>
    </row>
    <row r="365" customFormat="false" ht="15" hidden="false" customHeight="false" outlineLevel="0" collapsed="false">
      <c r="A365" s="9"/>
      <c r="B365" s="9"/>
      <c r="C365" s="10" t="str">
        <f aca="false">IF($B365="","",IFERROR(INDEX('Client Master'!$C:$C,MATCH($B365,'Client Master'!$B:$B,0)),"Code not found"))</f>
        <v/>
      </c>
      <c r="D365" s="9"/>
      <c r="E365" s="9"/>
      <c r="F365" s="9"/>
      <c r="G365" s="11"/>
      <c r="H365" s="11"/>
      <c r="I365" s="9"/>
      <c r="J365" s="12"/>
      <c r="K365" s="11"/>
      <c r="L365" s="9"/>
      <c r="N365" s="0" t="str">
        <f aca="false">IF(AND($J365&gt;0,$K365="",$A365&lt;&gt;""),SUMPRODUCT(($J$2:$J$600&gt;0)*($K$2:$K$600="")*($A$2:$A$600&lt;&gt;"")*((IF($G$2:$G$600="",99999999,$G$2:$G$600))&lt;IF($G365="",99999999,$G365)))+SUMPRODUCT(($J$2:$J365&gt;0)*($K$2:$K365="")*($A$2:$A365&lt;&gt;"")*((IF($G$2:$G365="",99999999,$G$2:$G365))=IF($G365="",99999999,$G365))),"")</f>
        <v/>
      </c>
      <c r="O365" s="0" t="str">
        <f aca="false">IF(AND($F365="Not Started",$A365&lt;&gt;""),SUMPRODUCT(($F$2:$F$600="Not Started")*($A$2:$A$600&lt;&gt;"")*((IF($G$2:$G$600="",99999999,$G$2:$G$600))&lt;IF($G365="",99999999,$G365)))+SUMPRODUCT(($F$2:$F365="Not Started")*($A$2:$A365&lt;&gt;"")*((IF($G$2:$G365="",99999999,$G$2:$G365))=IF($G365="",99999999,$G365))),"")</f>
        <v/>
      </c>
      <c r="P365" s="0" t="str">
        <f aca="false">IF(AND(OR($F365="In Progress",$F365="Pending Client Data",$F365="Under Review"),$A365&lt;&gt;""),SUMPRODUCT((($F$2:$F$600="In Progress")+($F$2:$F$600="Pending Client Data")+($F$2:$F$600="Under Review"))*($A$2:$A$600&lt;&gt;"")*((IF($G$2:$G$600="",99999999,$G$2:$G$600))&lt;IF($G365="",99999999,$G365)))+SUMPRODUCT((($F$2:$F365="In Progress")+($F$2:$F365="Pending Client Data")+($F$2:$F365="Under Review"))*($A$2:$A365&lt;&gt;"")*((IF($G$2:$G365="",99999999,$G$2:$G365))=IF($G365="",99999999,$G365))),"")</f>
        <v/>
      </c>
    </row>
    <row r="366" customFormat="false" ht="15" hidden="false" customHeight="false" outlineLevel="0" collapsed="false">
      <c r="A366" s="9"/>
      <c r="B366" s="9"/>
      <c r="C366" s="10" t="str">
        <f aca="false">IF($B366="","",IFERROR(INDEX('Client Master'!$C:$C,MATCH($B366,'Client Master'!$B:$B,0)),"Code not found"))</f>
        <v/>
      </c>
      <c r="D366" s="9"/>
      <c r="E366" s="9"/>
      <c r="F366" s="9"/>
      <c r="G366" s="11"/>
      <c r="H366" s="11"/>
      <c r="I366" s="9"/>
      <c r="J366" s="12"/>
      <c r="K366" s="11"/>
      <c r="L366" s="9"/>
      <c r="N366" s="0" t="str">
        <f aca="false">IF(AND($J366&gt;0,$K366="",$A366&lt;&gt;""),SUMPRODUCT(($J$2:$J$600&gt;0)*($K$2:$K$600="")*($A$2:$A$600&lt;&gt;"")*((IF($G$2:$G$600="",99999999,$G$2:$G$600))&lt;IF($G366="",99999999,$G366)))+SUMPRODUCT(($J$2:$J366&gt;0)*($K$2:$K366="")*($A$2:$A366&lt;&gt;"")*((IF($G$2:$G366="",99999999,$G$2:$G366))=IF($G366="",99999999,$G366))),"")</f>
        <v/>
      </c>
      <c r="O366" s="0" t="str">
        <f aca="false">IF(AND($F366="Not Started",$A366&lt;&gt;""),SUMPRODUCT(($F$2:$F$600="Not Started")*($A$2:$A$600&lt;&gt;"")*((IF($G$2:$G$600="",99999999,$G$2:$G$600))&lt;IF($G366="",99999999,$G366)))+SUMPRODUCT(($F$2:$F366="Not Started")*($A$2:$A366&lt;&gt;"")*((IF($G$2:$G366="",99999999,$G$2:$G366))=IF($G366="",99999999,$G366))),"")</f>
        <v/>
      </c>
      <c r="P366" s="0" t="str">
        <f aca="false">IF(AND(OR($F366="In Progress",$F366="Pending Client Data",$F366="Under Review"),$A366&lt;&gt;""),SUMPRODUCT((($F$2:$F$600="In Progress")+($F$2:$F$600="Pending Client Data")+($F$2:$F$600="Under Review"))*($A$2:$A$600&lt;&gt;"")*((IF($G$2:$G$600="",99999999,$G$2:$G$600))&lt;IF($G366="",99999999,$G366)))+SUMPRODUCT((($F$2:$F366="In Progress")+($F$2:$F366="Pending Client Data")+($F$2:$F366="Under Review"))*($A$2:$A366&lt;&gt;"")*((IF($G$2:$G366="",99999999,$G$2:$G366))=IF($G366="",99999999,$G366))),"")</f>
        <v/>
      </c>
    </row>
    <row r="367" customFormat="false" ht="15" hidden="false" customHeight="false" outlineLevel="0" collapsed="false">
      <c r="A367" s="9"/>
      <c r="B367" s="9"/>
      <c r="C367" s="10" t="str">
        <f aca="false">IF($B367="","",IFERROR(INDEX('Client Master'!$C:$C,MATCH($B367,'Client Master'!$B:$B,0)),"Code not found"))</f>
        <v/>
      </c>
      <c r="D367" s="9"/>
      <c r="E367" s="9"/>
      <c r="F367" s="9"/>
      <c r="G367" s="11"/>
      <c r="H367" s="11"/>
      <c r="I367" s="9"/>
      <c r="J367" s="12"/>
      <c r="K367" s="11"/>
      <c r="L367" s="9"/>
      <c r="N367" s="0" t="str">
        <f aca="false">IF(AND($J367&gt;0,$K367="",$A367&lt;&gt;""),SUMPRODUCT(($J$2:$J$600&gt;0)*($K$2:$K$600="")*($A$2:$A$600&lt;&gt;"")*((IF($G$2:$G$600="",99999999,$G$2:$G$600))&lt;IF($G367="",99999999,$G367)))+SUMPRODUCT(($J$2:$J367&gt;0)*($K$2:$K367="")*($A$2:$A367&lt;&gt;"")*((IF($G$2:$G367="",99999999,$G$2:$G367))=IF($G367="",99999999,$G367))),"")</f>
        <v/>
      </c>
      <c r="O367" s="0" t="str">
        <f aca="false">IF(AND($F367="Not Started",$A367&lt;&gt;""),SUMPRODUCT(($F$2:$F$600="Not Started")*($A$2:$A$600&lt;&gt;"")*((IF($G$2:$G$600="",99999999,$G$2:$G$600))&lt;IF($G367="",99999999,$G367)))+SUMPRODUCT(($F$2:$F367="Not Started")*($A$2:$A367&lt;&gt;"")*((IF($G$2:$G367="",99999999,$G$2:$G367))=IF($G367="",99999999,$G367))),"")</f>
        <v/>
      </c>
      <c r="P367" s="0" t="str">
        <f aca="false">IF(AND(OR($F367="In Progress",$F367="Pending Client Data",$F367="Under Review"),$A367&lt;&gt;""),SUMPRODUCT((($F$2:$F$600="In Progress")+($F$2:$F$600="Pending Client Data")+($F$2:$F$600="Under Review"))*($A$2:$A$600&lt;&gt;"")*((IF($G$2:$G$600="",99999999,$G$2:$G$600))&lt;IF($G367="",99999999,$G367)))+SUMPRODUCT((($F$2:$F367="In Progress")+($F$2:$F367="Pending Client Data")+($F$2:$F367="Under Review"))*($A$2:$A367&lt;&gt;"")*((IF($G$2:$G367="",99999999,$G$2:$G367))=IF($G367="",99999999,$G367))),"")</f>
        <v/>
      </c>
    </row>
    <row r="368" customFormat="false" ht="15" hidden="false" customHeight="false" outlineLevel="0" collapsed="false">
      <c r="A368" s="9"/>
      <c r="B368" s="9"/>
      <c r="C368" s="10" t="str">
        <f aca="false">IF($B368="","",IFERROR(INDEX('Client Master'!$C:$C,MATCH($B368,'Client Master'!$B:$B,0)),"Code not found"))</f>
        <v/>
      </c>
      <c r="D368" s="9"/>
      <c r="E368" s="9"/>
      <c r="F368" s="9"/>
      <c r="G368" s="11"/>
      <c r="H368" s="11"/>
      <c r="I368" s="9"/>
      <c r="J368" s="12"/>
      <c r="K368" s="11"/>
      <c r="L368" s="9"/>
      <c r="N368" s="0" t="str">
        <f aca="false">IF(AND($J368&gt;0,$K368="",$A368&lt;&gt;""),SUMPRODUCT(($J$2:$J$600&gt;0)*($K$2:$K$600="")*($A$2:$A$600&lt;&gt;"")*((IF($G$2:$G$600="",99999999,$G$2:$G$600))&lt;IF($G368="",99999999,$G368)))+SUMPRODUCT(($J$2:$J368&gt;0)*($K$2:$K368="")*($A$2:$A368&lt;&gt;"")*((IF($G$2:$G368="",99999999,$G$2:$G368))=IF($G368="",99999999,$G368))),"")</f>
        <v/>
      </c>
      <c r="O368" s="0" t="str">
        <f aca="false">IF(AND($F368="Not Started",$A368&lt;&gt;""),SUMPRODUCT(($F$2:$F$600="Not Started")*($A$2:$A$600&lt;&gt;"")*((IF($G$2:$G$600="",99999999,$G$2:$G$600))&lt;IF($G368="",99999999,$G368)))+SUMPRODUCT(($F$2:$F368="Not Started")*($A$2:$A368&lt;&gt;"")*((IF($G$2:$G368="",99999999,$G$2:$G368))=IF($G368="",99999999,$G368))),"")</f>
        <v/>
      </c>
      <c r="P368" s="0" t="str">
        <f aca="false">IF(AND(OR($F368="In Progress",$F368="Pending Client Data",$F368="Under Review"),$A368&lt;&gt;""),SUMPRODUCT((($F$2:$F$600="In Progress")+($F$2:$F$600="Pending Client Data")+($F$2:$F$600="Under Review"))*($A$2:$A$600&lt;&gt;"")*((IF($G$2:$G$600="",99999999,$G$2:$G$600))&lt;IF($G368="",99999999,$G368)))+SUMPRODUCT((($F$2:$F368="In Progress")+($F$2:$F368="Pending Client Data")+($F$2:$F368="Under Review"))*($A$2:$A368&lt;&gt;"")*((IF($G$2:$G368="",99999999,$G$2:$G368))=IF($G368="",99999999,$G368))),"")</f>
        <v/>
      </c>
    </row>
    <row r="369" customFormat="false" ht="15" hidden="false" customHeight="false" outlineLevel="0" collapsed="false">
      <c r="A369" s="9"/>
      <c r="B369" s="9"/>
      <c r="C369" s="10" t="str">
        <f aca="false">IF($B369="","",IFERROR(INDEX('Client Master'!$C:$C,MATCH($B369,'Client Master'!$B:$B,0)),"Code not found"))</f>
        <v/>
      </c>
      <c r="D369" s="9"/>
      <c r="E369" s="9"/>
      <c r="F369" s="9"/>
      <c r="G369" s="11"/>
      <c r="H369" s="11"/>
      <c r="I369" s="9"/>
      <c r="J369" s="12"/>
      <c r="K369" s="11"/>
      <c r="L369" s="9"/>
      <c r="N369" s="0" t="str">
        <f aca="false">IF(AND($J369&gt;0,$K369="",$A369&lt;&gt;""),SUMPRODUCT(($J$2:$J$600&gt;0)*($K$2:$K$600="")*($A$2:$A$600&lt;&gt;"")*((IF($G$2:$G$600="",99999999,$G$2:$G$600))&lt;IF($G369="",99999999,$G369)))+SUMPRODUCT(($J$2:$J369&gt;0)*($K$2:$K369="")*($A$2:$A369&lt;&gt;"")*((IF($G$2:$G369="",99999999,$G$2:$G369))=IF($G369="",99999999,$G369))),"")</f>
        <v/>
      </c>
      <c r="O369" s="0" t="str">
        <f aca="false">IF(AND($F369="Not Started",$A369&lt;&gt;""),SUMPRODUCT(($F$2:$F$600="Not Started")*($A$2:$A$600&lt;&gt;"")*((IF($G$2:$G$600="",99999999,$G$2:$G$600))&lt;IF($G369="",99999999,$G369)))+SUMPRODUCT(($F$2:$F369="Not Started")*($A$2:$A369&lt;&gt;"")*((IF($G$2:$G369="",99999999,$G$2:$G369))=IF($G369="",99999999,$G369))),"")</f>
        <v/>
      </c>
      <c r="P369" s="0" t="str">
        <f aca="false">IF(AND(OR($F369="In Progress",$F369="Pending Client Data",$F369="Under Review"),$A369&lt;&gt;""),SUMPRODUCT((($F$2:$F$600="In Progress")+($F$2:$F$600="Pending Client Data")+($F$2:$F$600="Under Review"))*($A$2:$A$600&lt;&gt;"")*((IF($G$2:$G$600="",99999999,$G$2:$G$600))&lt;IF($G369="",99999999,$G369)))+SUMPRODUCT((($F$2:$F369="In Progress")+($F$2:$F369="Pending Client Data")+($F$2:$F369="Under Review"))*($A$2:$A369&lt;&gt;"")*((IF($G$2:$G369="",99999999,$G$2:$G369))=IF($G369="",99999999,$G369))),"")</f>
        <v/>
      </c>
    </row>
    <row r="370" customFormat="false" ht="15" hidden="false" customHeight="false" outlineLevel="0" collapsed="false">
      <c r="A370" s="9"/>
      <c r="B370" s="9"/>
      <c r="C370" s="10" t="str">
        <f aca="false">IF($B370="","",IFERROR(INDEX('Client Master'!$C:$C,MATCH($B370,'Client Master'!$B:$B,0)),"Code not found"))</f>
        <v/>
      </c>
      <c r="D370" s="9"/>
      <c r="E370" s="9"/>
      <c r="F370" s="9"/>
      <c r="G370" s="11"/>
      <c r="H370" s="11"/>
      <c r="I370" s="9"/>
      <c r="J370" s="12"/>
      <c r="K370" s="11"/>
      <c r="L370" s="9"/>
      <c r="N370" s="0" t="str">
        <f aca="false">IF(AND($J370&gt;0,$K370="",$A370&lt;&gt;""),SUMPRODUCT(($J$2:$J$600&gt;0)*($K$2:$K$600="")*($A$2:$A$600&lt;&gt;"")*((IF($G$2:$G$600="",99999999,$G$2:$G$600))&lt;IF($G370="",99999999,$G370)))+SUMPRODUCT(($J$2:$J370&gt;0)*($K$2:$K370="")*($A$2:$A370&lt;&gt;"")*((IF($G$2:$G370="",99999999,$G$2:$G370))=IF($G370="",99999999,$G370))),"")</f>
        <v/>
      </c>
      <c r="O370" s="0" t="str">
        <f aca="false">IF(AND($F370="Not Started",$A370&lt;&gt;""),SUMPRODUCT(($F$2:$F$600="Not Started")*($A$2:$A$600&lt;&gt;"")*((IF($G$2:$G$600="",99999999,$G$2:$G$600))&lt;IF($G370="",99999999,$G370)))+SUMPRODUCT(($F$2:$F370="Not Started")*($A$2:$A370&lt;&gt;"")*((IF($G$2:$G370="",99999999,$G$2:$G370))=IF($G370="",99999999,$G370))),"")</f>
        <v/>
      </c>
      <c r="P370" s="0" t="str">
        <f aca="false">IF(AND(OR($F370="In Progress",$F370="Pending Client Data",$F370="Under Review"),$A370&lt;&gt;""),SUMPRODUCT((($F$2:$F$600="In Progress")+($F$2:$F$600="Pending Client Data")+($F$2:$F$600="Under Review"))*($A$2:$A$600&lt;&gt;"")*((IF($G$2:$G$600="",99999999,$G$2:$G$600))&lt;IF($G370="",99999999,$G370)))+SUMPRODUCT((($F$2:$F370="In Progress")+($F$2:$F370="Pending Client Data")+($F$2:$F370="Under Review"))*($A$2:$A370&lt;&gt;"")*((IF($G$2:$G370="",99999999,$G$2:$G370))=IF($G370="",99999999,$G370))),"")</f>
        <v/>
      </c>
    </row>
    <row r="371" customFormat="false" ht="15" hidden="false" customHeight="false" outlineLevel="0" collapsed="false">
      <c r="A371" s="9"/>
      <c r="B371" s="9"/>
      <c r="C371" s="10" t="str">
        <f aca="false">IF($B371="","",IFERROR(INDEX('Client Master'!$C:$C,MATCH($B371,'Client Master'!$B:$B,0)),"Code not found"))</f>
        <v/>
      </c>
      <c r="D371" s="9"/>
      <c r="E371" s="9"/>
      <c r="F371" s="9"/>
      <c r="G371" s="11"/>
      <c r="H371" s="11"/>
      <c r="I371" s="9"/>
      <c r="J371" s="12"/>
      <c r="K371" s="11"/>
      <c r="L371" s="9"/>
      <c r="N371" s="0" t="str">
        <f aca="false">IF(AND($J371&gt;0,$K371="",$A371&lt;&gt;""),SUMPRODUCT(($J$2:$J$600&gt;0)*($K$2:$K$600="")*($A$2:$A$600&lt;&gt;"")*((IF($G$2:$G$600="",99999999,$G$2:$G$600))&lt;IF($G371="",99999999,$G371)))+SUMPRODUCT(($J$2:$J371&gt;0)*($K$2:$K371="")*($A$2:$A371&lt;&gt;"")*((IF($G$2:$G371="",99999999,$G$2:$G371))=IF($G371="",99999999,$G371))),"")</f>
        <v/>
      </c>
      <c r="O371" s="0" t="str">
        <f aca="false">IF(AND($F371="Not Started",$A371&lt;&gt;""),SUMPRODUCT(($F$2:$F$600="Not Started")*($A$2:$A$600&lt;&gt;"")*((IF($G$2:$G$600="",99999999,$G$2:$G$600))&lt;IF($G371="",99999999,$G371)))+SUMPRODUCT(($F$2:$F371="Not Started")*($A$2:$A371&lt;&gt;"")*((IF($G$2:$G371="",99999999,$G$2:$G371))=IF($G371="",99999999,$G371))),"")</f>
        <v/>
      </c>
      <c r="P371" s="0" t="str">
        <f aca="false">IF(AND(OR($F371="In Progress",$F371="Pending Client Data",$F371="Under Review"),$A371&lt;&gt;""),SUMPRODUCT((($F$2:$F$600="In Progress")+($F$2:$F$600="Pending Client Data")+($F$2:$F$600="Under Review"))*($A$2:$A$600&lt;&gt;"")*((IF($G$2:$G$600="",99999999,$G$2:$G$600))&lt;IF($G371="",99999999,$G371)))+SUMPRODUCT((($F$2:$F371="In Progress")+($F$2:$F371="Pending Client Data")+($F$2:$F371="Under Review"))*($A$2:$A371&lt;&gt;"")*((IF($G$2:$G371="",99999999,$G$2:$G371))=IF($G371="",99999999,$G371))),"")</f>
        <v/>
      </c>
    </row>
    <row r="372" customFormat="false" ht="15" hidden="false" customHeight="false" outlineLevel="0" collapsed="false">
      <c r="A372" s="9"/>
      <c r="B372" s="9"/>
      <c r="C372" s="10" t="str">
        <f aca="false">IF($B372="","",IFERROR(INDEX('Client Master'!$C:$C,MATCH($B372,'Client Master'!$B:$B,0)),"Code not found"))</f>
        <v/>
      </c>
      <c r="D372" s="9"/>
      <c r="E372" s="9"/>
      <c r="F372" s="9"/>
      <c r="G372" s="11"/>
      <c r="H372" s="11"/>
      <c r="I372" s="9"/>
      <c r="J372" s="12"/>
      <c r="K372" s="11"/>
      <c r="L372" s="9"/>
      <c r="N372" s="0" t="str">
        <f aca="false">IF(AND($J372&gt;0,$K372="",$A372&lt;&gt;""),SUMPRODUCT(($J$2:$J$600&gt;0)*($K$2:$K$600="")*($A$2:$A$600&lt;&gt;"")*((IF($G$2:$G$600="",99999999,$G$2:$G$600))&lt;IF($G372="",99999999,$G372)))+SUMPRODUCT(($J$2:$J372&gt;0)*($K$2:$K372="")*($A$2:$A372&lt;&gt;"")*((IF($G$2:$G372="",99999999,$G$2:$G372))=IF($G372="",99999999,$G372))),"")</f>
        <v/>
      </c>
      <c r="O372" s="0" t="str">
        <f aca="false">IF(AND($F372="Not Started",$A372&lt;&gt;""),SUMPRODUCT(($F$2:$F$600="Not Started")*($A$2:$A$600&lt;&gt;"")*((IF($G$2:$G$600="",99999999,$G$2:$G$600))&lt;IF($G372="",99999999,$G372)))+SUMPRODUCT(($F$2:$F372="Not Started")*($A$2:$A372&lt;&gt;"")*((IF($G$2:$G372="",99999999,$G$2:$G372))=IF($G372="",99999999,$G372))),"")</f>
        <v/>
      </c>
      <c r="P372" s="0" t="str">
        <f aca="false">IF(AND(OR($F372="In Progress",$F372="Pending Client Data",$F372="Under Review"),$A372&lt;&gt;""),SUMPRODUCT((($F$2:$F$600="In Progress")+($F$2:$F$600="Pending Client Data")+($F$2:$F$600="Under Review"))*($A$2:$A$600&lt;&gt;"")*((IF($G$2:$G$600="",99999999,$G$2:$G$600))&lt;IF($G372="",99999999,$G372)))+SUMPRODUCT((($F$2:$F372="In Progress")+($F$2:$F372="Pending Client Data")+($F$2:$F372="Under Review"))*($A$2:$A372&lt;&gt;"")*((IF($G$2:$G372="",99999999,$G$2:$G372))=IF($G372="",99999999,$G372))),"")</f>
        <v/>
      </c>
    </row>
    <row r="373" customFormat="false" ht="15" hidden="false" customHeight="false" outlineLevel="0" collapsed="false">
      <c r="A373" s="9"/>
      <c r="B373" s="9"/>
      <c r="C373" s="10" t="str">
        <f aca="false">IF($B373="","",IFERROR(INDEX('Client Master'!$C:$C,MATCH($B373,'Client Master'!$B:$B,0)),"Code not found"))</f>
        <v/>
      </c>
      <c r="D373" s="9"/>
      <c r="E373" s="9"/>
      <c r="F373" s="9"/>
      <c r="G373" s="11"/>
      <c r="H373" s="11"/>
      <c r="I373" s="9"/>
      <c r="J373" s="12"/>
      <c r="K373" s="11"/>
      <c r="L373" s="9"/>
      <c r="N373" s="0" t="str">
        <f aca="false">IF(AND($J373&gt;0,$K373="",$A373&lt;&gt;""),SUMPRODUCT(($J$2:$J$600&gt;0)*($K$2:$K$600="")*($A$2:$A$600&lt;&gt;"")*((IF($G$2:$G$600="",99999999,$G$2:$G$600))&lt;IF($G373="",99999999,$G373)))+SUMPRODUCT(($J$2:$J373&gt;0)*($K$2:$K373="")*($A$2:$A373&lt;&gt;"")*((IF($G$2:$G373="",99999999,$G$2:$G373))=IF($G373="",99999999,$G373))),"")</f>
        <v/>
      </c>
      <c r="O373" s="0" t="str">
        <f aca="false">IF(AND($F373="Not Started",$A373&lt;&gt;""),SUMPRODUCT(($F$2:$F$600="Not Started")*($A$2:$A$600&lt;&gt;"")*((IF($G$2:$G$600="",99999999,$G$2:$G$600))&lt;IF($G373="",99999999,$G373)))+SUMPRODUCT(($F$2:$F373="Not Started")*($A$2:$A373&lt;&gt;"")*((IF($G$2:$G373="",99999999,$G$2:$G373))=IF($G373="",99999999,$G373))),"")</f>
        <v/>
      </c>
      <c r="P373" s="0" t="str">
        <f aca="false">IF(AND(OR($F373="In Progress",$F373="Pending Client Data",$F373="Under Review"),$A373&lt;&gt;""),SUMPRODUCT((($F$2:$F$600="In Progress")+($F$2:$F$600="Pending Client Data")+($F$2:$F$600="Under Review"))*($A$2:$A$600&lt;&gt;"")*((IF($G$2:$G$600="",99999999,$G$2:$G$600))&lt;IF($G373="",99999999,$G373)))+SUMPRODUCT((($F$2:$F373="In Progress")+($F$2:$F373="Pending Client Data")+($F$2:$F373="Under Review"))*($A$2:$A373&lt;&gt;"")*((IF($G$2:$G373="",99999999,$G$2:$G373))=IF($G373="",99999999,$G373))),"")</f>
        <v/>
      </c>
    </row>
    <row r="374" customFormat="false" ht="15" hidden="false" customHeight="false" outlineLevel="0" collapsed="false">
      <c r="A374" s="9"/>
      <c r="B374" s="9"/>
      <c r="C374" s="10" t="str">
        <f aca="false">IF($B374="","",IFERROR(INDEX('Client Master'!$C:$C,MATCH($B374,'Client Master'!$B:$B,0)),"Code not found"))</f>
        <v/>
      </c>
      <c r="D374" s="9"/>
      <c r="E374" s="9"/>
      <c r="F374" s="9"/>
      <c r="G374" s="11"/>
      <c r="H374" s="11"/>
      <c r="I374" s="9"/>
      <c r="J374" s="12"/>
      <c r="K374" s="11"/>
      <c r="L374" s="9"/>
      <c r="N374" s="0" t="str">
        <f aca="false">IF(AND($J374&gt;0,$K374="",$A374&lt;&gt;""),SUMPRODUCT(($J$2:$J$600&gt;0)*($K$2:$K$600="")*($A$2:$A$600&lt;&gt;"")*((IF($G$2:$G$600="",99999999,$G$2:$G$600))&lt;IF($G374="",99999999,$G374)))+SUMPRODUCT(($J$2:$J374&gt;0)*($K$2:$K374="")*($A$2:$A374&lt;&gt;"")*((IF($G$2:$G374="",99999999,$G$2:$G374))=IF($G374="",99999999,$G374))),"")</f>
        <v/>
      </c>
      <c r="O374" s="0" t="str">
        <f aca="false">IF(AND($F374="Not Started",$A374&lt;&gt;""),SUMPRODUCT(($F$2:$F$600="Not Started")*($A$2:$A$600&lt;&gt;"")*((IF($G$2:$G$600="",99999999,$G$2:$G$600))&lt;IF($G374="",99999999,$G374)))+SUMPRODUCT(($F$2:$F374="Not Started")*($A$2:$A374&lt;&gt;"")*((IF($G$2:$G374="",99999999,$G$2:$G374))=IF($G374="",99999999,$G374))),"")</f>
        <v/>
      </c>
      <c r="P374" s="0" t="str">
        <f aca="false">IF(AND(OR($F374="In Progress",$F374="Pending Client Data",$F374="Under Review"),$A374&lt;&gt;""),SUMPRODUCT((($F$2:$F$600="In Progress")+($F$2:$F$600="Pending Client Data")+($F$2:$F$600="Under Review"))*($A$2:$A$600&lt;&gt;"")*((IF($G$2:$G$600="",99999999,$G$2:$G$600))&lt;IF($G374="",99999999,$G374)))+SUMPRODUCT((($F$2:$F374="In Progress")+($F$2:$F374="Pending Client Data")+($F$2:$F374="Under Review"))*($A$2:$A374&lt;&gt;"")*((IF($G$2:$G374="",99999999,$G$2:$G374))=IF($G374="",99999999,$G374))),"")</f>
        <v/>
      </c>
    </row>
    <row r="375" customFormat="false" ht="15" hidden="false" customHeight="false" outlineLevel="0" collapsed="false">
      <c r="A375" s="9"/>
      <c r="B375" s="9"/>
      <c r="C375" s="10" t="str">
        <f aca="false">IF($B375="","",IFERROR(INDEX('Client Master'!$C:$C,MATCH($B375,'Client Master'!$B:$B,0)),"Code not found"))</f>
        <v/>
      </c>
      <c r="D375" s="9"/>
      <c r="E375" s="9"/>
      <c r="F375" s="9"/>
      <c r="G375" s="11"/>
      <c r="H375" s="11"/>
      <c r="I375" s="9"/>
      <c r="J375" s="12"/>
      <c r="K375" s="11"/>
      <c r="L375" s="9"/>
      <c r="N375" s="0" t="str">
        <f aca="false">IF(AND($J375&gt;0,$K375="",$A375&lt;&gt;""),SUMPRODUCT(($J$2:$J$600&gt;0)*($K$2:$K$600="")*($A$2:$A$600&lt;&gt;"")*((IF($G$2:$G$600="",99999999,$G$2:$G$600))&lt;IF($G375="",99999999,$G375)))+SUMPRODUCT(($J$2:$J375&gt;0)*($K$2:$K375="")*($A$2:$A375&lt;&gt;"")*((IF($G$2:$G375="",99999999,$G$2:$G375))=IF($G375="",99999999,$G375))),"")</f>
        <v/>
      </c>
      <c r="O375" s="0" t="str">
        <f aca="false">IF(AND($F375="Not Started",$A375&lt;&gt;""),SUMPRODUCT(($F$2:$F$600="Not Started")*($A$2:$A$600&lt;&gt;"")*((IF($G$2:$G$600="",99999999,$G$2:$G$600))&lt;IF($G375="",99999999,$G375)))+SUMPRODUCT(($F$2:$F375="Not Started")*($A$2:$A375&lt;&gt;"")*((IF($G$2:$G375="",99999999,$G$2:$G375))=IF($G375="",99999999,$G375))),"")</f>
        <v/>
      </c>
      <c r="P375" s="0" t="str">
        <f aca="false">IF(AND(OR($F375="In Progress",$F375="Pending Client Data",$F375="Under Review"),$A375&lt;&gt;""),SUMPRODUCT((($F$2:$F$600="In Progress")+($F$2:$F$600="Pending Client Data")+($F$2:$F$600="Under Review"))*($A$2:$A$600&lt;&gt;"")*((IF($G$2:$G$600="",99999999,$G$2:$G$600))&lt;IF($G375="",99999999,$G375)))+SUMPRODUCT((($F$2:$F375="In Progress")+($F$2:$F375="Pending Client Data")+($F$2:$F375="Under Review"))*($A$2:$A375&lt;&gt;"")*((IF($G$2:$G375="",99999999,$G$2:$G375))=IF($G375="",99999999,$G375))),"")</f>
        <v/>
      </c>
    </row>
    <row r="376" customFormat="false" ht="15" hidden="false" customHeight="false" outlineLevel="0" collapsed="false">
      <c r="A376" s="9"/>
      <c r="B376" s="9"/>
      <c r="C376" s="10" t="str">
        <f aca="false">IF($B376="","",IFERROR(INDEX('Client Master'!$C:$C,MATCH($B376,'Client Master'!$B:$B,0)),"Code not found"))</f>
        <v/>
      </c>
      <c r="D376" s="9"/>
      <c r="E376" s="9"/>
      <c r="F376" s="9"/>
      <c r="G376" s="11"/>
      <c r="H376" s="11"/>
      <c r="I376" s="9"/>
      <c r="J376" s="12"/>
      <c r="K376" s="11"/>
      <c r="L376" s="9"/>
      <c r="N376" s="0" t="str">
        <f aca="false">IF(AND($J376&gt;0,$K376="",$A376&lt;&gt;""),SUMPRODUCT(($J$2:$J$600&gt;0)*($K$2:$K$600="")*($A$2:$A$600&lt;&gt;"")*((IF($G$2:$G$600="",99999999,$G$2:$G$600))&lt;IF($G376="",99999999,$G376)))+SUMPRODUCT(($J$2:$J376&gt;0)*($K$2:$K376="")*($A$2:$A376&lt;&gt;"")*((IF($G$2:$G376="",99999999,$G$2:$G376))=IF($G376="",99999999,$G376))),"")</f>
        <v/>
      </c>
      <c r="O376" s="0" t="str">
        <f aca="false">IF(AND($F376="Not Started",$A376&lt;&gt;""),SUMPRODUCT(($F$2:$F$600="Not Started")*($A$2:$A$600&lt;&gt;"")*((IF($G$2:$G$600="",99999999,$G$2:$G$600))&lt;IF($G376="",99999999,$G376)))+SUMPRODUCT(($F$2:$F376="Not Started")*($A$2:$A376&lt;&gt;"")*((IF($G$2:$G376="",99999999,$G$2:$G376))=IF($G376="",99999999,$G376))),"")</f>
        <v/>
      </c>
      <c r="P376" s="0" t="str">
        <f aca="false">IF(AND(OR($F376="In Progress",$F376="Pending Client Data",$F376="Under Review"),$A376&lt;&gt;""),SUMPRODUCT((($F$2:$F$600="In Progress")+($F$2:$F$600="Pending Client Data")+($F$2:$F$600="Under Review"))*($A$2:$A$600&lt;&gt;"")*((IF($G$2:$G$600="",99999999,$G$2:$G$600))&lt;IF($G376="",99999999,$G376)))+SUMPRODUCT((($F$2:$F376="In Progress")+($F$2:$F376="Pending Client Data")+($F$2:$F376="Under Review"))*($A$2:$A376&lt;&gt;"")*((IF($G$2:$G376="",99999999,$G$2:$G376))=IF($G376="",99999999,$G376))),"")</f>
        <v/>
      </c>
    </row>
    <row r="377" customFormat="false" ht="15" hidden="false" customHeight="false" outlineLevel="0" collapsed="false">
      <c r="A377" s="9"/>
      <c r="B377" s="9"/>
      <c r="C377" s="10" t="str">
        <f aca="false">IF($B377="","",IFERROR(INDEX('Client Master'!$C:$C,MATCH($B377,'Client Master'!$B:$B,0)),"Code not found"))</f>
        <v/>
      </c>
      <c r="D377" s="9"/>
      <c r="E377" s="9"/>
      <c r="F377" s="9"/>
      <c r="G377" s="11"/>
      <c r="H377" s="11"/>
      <c r="I377" s="9"/>
      <c r="J377" s="12"/>
      <c r="K377" s="11"/>
      <c r="L377" s="9"/>
      <c r="N377" s="0" t="str">
        <f aca="false">IF(AND($J377&gt;0,$K377="",$A377&lt;&gt;""),SUMPRODUCT(($J$2:$J$600&gt;0)*($K$2:$K$600="")*($A$2:$A$600&lt;&gt;"")*((IF($G$2:$G$600="",99999999,$G$2:$G$600))&lt;IF($G377="",99999999,$G377)))+SUMPRODUCT(($J$2:$J377&gt;0)*($K$2:$K377="")*($A$2:$A377&lt;&gt;"")*((IF($G$2:$G377="",99999999,$G$2:$G377))=IF($G377="",99999999,$G377))),"")</f>
        <v/>
      </c>
      <c r="O377" s="0" t="str">
        <f aca="false">IF(AND($F377="Not Started",$A377&lt;&gt;""),SUMPRODUCT(($F$2:$F$600="Not Started")*($A$2:$A$600&lt;&gt;"")*((IF($G$2:$G$600="",99999999,$G$2:$G$600))&lt;IF($G377="",99999999,$G377)))+SUMPRODUCT(($F$2:$F377="Not Started")*($A$2:$A377&lt;&gt;"")*((IF($G$2:$G377="",99999999,$G$2:$G377))=IF($G377="",99999999,$G377))),"")</f>
        <v/>
      </c>
      <c r="P377" s="0" t="str">
        <f aca="false">IF(AND(OR($F377="In Progress",$F377="Pending Client Data",$F377="Under Review"),$A377&lt;&gt;""),SUMPRODUCT((($F$2:$F$600="In Progress")+($F$2:$F$600="Pending Client Data")+($F$2:$F$600="Under Review"))*($A$2:$A$600&lt;&gt;"")*((IF($G$2:$G$600="",99999999,$G$2:$G$600))&lt;IF($G377="",99999999,$G377)))+SUMPRODUCT((($F$2:$F377="In Progress")+($F$2:$F377="Pending Client Data")+($F$2:$F377="Under Review"))*($A$2:$A377&lt;&gt;"")*((IF($G$2:$G377="",99999999,$G$2:$G377))=IF($G377="",99999999,$G377))),"")</f>
        <v/>
      </c>
    </row>
    <row r="378" customFormat="false" ht="15" hidden="false" customHeight="false" outlineLevel="0" collapsed="false">
      <c r="A378" s="9"/>
      <c r="B378" s="9"/>
      <c r="C378" s="10" t="str">
        <f aca="false">IF($B378="","",IFERROR(INDEX('Client Master'!$C:$C,MATCH($B378,'Client Master'!$B:$B,0)),"Code not found"))</f>
        <v/>
      </c>
      <c r="D378" s="9"/>
      <c r="E378" s="9"/>
      <c r="F378" s="9"/>
      <c r="G378" s="11"/>
      <c r="H378" s="11"/>
      <c r="I378" s="9"/>
      <c r="J378" s="12"/>
      <c r="K378" s="11"/>
      <c r="L378" s="9"/>
      <c r="N378" s="0" t="str">
        <f aca="false">IF(AND($J378&gt;0,$K378="",$A378&lt;&gt;""),SUMPRODUCT(($J$2:$J$600&gt;0)*($K$2:$K$600="")*($A$2:$A$600&lt;&gt;"")*((IF($G$2:$G$600="",99999999,$G$2:$G$600))&lt;IF($G378="",99999999,$G378)))+SUMPRODUCT(($J$2:$J378&gt;0)*($K$2:$K378="")*($A$2:$A378&lt;&gt;"")*((IF($G$2:$G378="",99999999,$G$2:$G378))=IF($G378="",99999999,$G378))),"")</f>
        <v/>
      </c>
      <c r="O378" s="0" t="str">
        <f aca="false">IF(AND($F378="Not Started",$A378&lt;&gt;""),SUMPRODUCT(($F$2:$F$600="Not Started")*($A$2:$A$600&lt;&gt;"")*((IF($G$2:$G$600="",99999999,$G$2:$G$600))&lt;IF($G378="",99999999,$G378)))+SUMPRODUCT(($F$2:$F378="Not Started")*($A$2:$A378&lt;&gt;"")*((IF($G$2:$G378="",99999999,$G$2:$G378))=IF($G378="",99999999,$G378))),"")</f>
        <v/>
      </c>
      <c r="P378" s="0" t="str">
        <f aca="false">IF(AND(OR($F378="In Progress",$F378="Pending Client Data",$F378="Under Review"),$A378&lt;&gt;""),SUMPRODUCT((($F$2:$F$600="In Progress")+($F$2:$F$600="Pending Client Data")+($F$2:$F$600="Under Review"))*($A$2:$A$600&lt;&gt;"")*((IF($G$2:$G$600="",99999999,$G$2:$G$600))&lt;IF($G378="",99999999,$G378)))+SUMPRODUCT((($F$2:$F378="In Progress")+($F$2:$F378="Pending Client Data")+($F$2:$F378="Under Review"))*($A$2:$A378&lt;&gt;"")*((IF($G$2:$G378="",99999999,$G$2:$G378))=IF($G378="",99999999,$G378))),"")</f>
        <v/>
      </c>
    </row>
    <row r="379" customFormat="false" ht="15" hidden="false" customHeight="false" outlineLevel="0" collapsed="false">
      <c r="A379" s="9"/>
      <c r="B379" s="9"/>
      <c r="C379" s="10" t="str">
        <f aca="false">IF($B379="","",IFERROR(INDEX('Client Master'!$C:$C,MATCH($B379,'Client Master'!$B:$B,0)),"Code not found"))</f>
        <v/>
      </c>
      <c r="D379" s="9"/>
      <c r="E379" s="9"/>
      <c r="F379" s="9"/>
      <c r="G379" s="11"/>
      <c r="H379" s="11"/>
      <c r="I379" s="9"/>
      <c r="J379" s="12"/>
      <c r="K379" s="11"/>
      <c r="L379" s="9"/>
      <c r="N379" s="0" t="str">
        <f aca="false">IF(AND($J379&gt;0,$K379="",$A379&lt;&gt;""),SUMPRODUCT(($J$2:$J$600&gt;0)*($K$2:$K$600="")*($A$2:$A$600&lt;&gt;"")*((IF($G$2:$G$600="",99999999,$G$2:$G$600))&lt;IF($G379="",99999999,$G379)))+SUMPRODUCT(($J$2:$J379&gt;0)*($K$2:$K379="")*($A$2:$A379&lt;&gt;"")*((IF($G$2:$G379="",99999999,$G$2:$G379))=IF($G379="",99999999,$G379))),"")</f>
        <v/>
      </c>
      <c r="O379" s="0" t="str">
        <f aca="false">IF(AND($F379="Not Started",$A379&lt;&gt;""),SUMPRODUCT(($F$2:$F$600="Not Started")*($A$2:$A$600&lt;&gt;"")*((IF($G$2:$G$600="",99999999,$G$2:$G$600))&lt;IF($G379="",99999999,$G379)))+SUMPRODUCT(($F$2:$F379="Not Started")*($A$2:$A379&lt;&gt;"")*((IF($G$2:$G379="",99999999,$G$2:$G379))=IF($G379="",99999999,$G379))),"")</f>
        <v/>
      </c>
      <c r="P379" s="0" t="str">
        <f aca="false">IF(AND(OR($F379="In Progress",$F379="Pending Client Data",$F379="Under Review"),$A379&lt;&gt;""),SUMPRODUCT((($F$2:$F$600="In Progress")+($F$2:$F$600="Pending Client Data")+($F$2:$F$600="Under Review"))*($A$2:$A$600&lt;&gt;"")*((IF($G$2:$G$600="",99999999,$G$2:$G$600))&lt;IF($G379="",99999999,$G379)))+SUMPRODUCT((($F$2:$F379="In Progress")+($F$2:$F379="Pending Client Data")+($F$2:$F379="Under Review"))*($A$2:$A379&lt;&gt;"")*((IF($G$2:$G379="",99999999,$G$2:$G379))=IF($G379="",99999999,$G379))),"")</f>
        <v/>
      </c>
    </row>
    <row r="380" customFormat="false" ht="15" hidden="false" customHeight="false" outlineLevel="0" collapsed="false">
      <c r="A380" s="9"/>
      <c r="B380" s="9"/>
      <c r="C380" s="10" t="str">
        <f aca="false">IF($B380="","",IFERROR(INDEX('Client Master'!$C:$C,MATCH($B380,'Client Master'!$B:$B,0)),"Code not found"))</f>
        <v/>
      </c>
      <c r="D380" s="9"/>
      <c r="E380" s="9"/>
      <c r="F380" s="9"/>
      <c r="G380" s="11"/>
      <c r="H380" s="11"/>
      <c r="I380" s="9"/>
      <c r="J380" s="12"/>
      <c r="K380" s="11"/>
      <c r="L380" s="9"/>
      <c r="N380" s="0" t="str">
        <f aca="false">IF(AND($J380&gt;0,$K380="",$A380&lt;&gt;""),SUMPRODUCT(($J$2:$J$600&gt;0)*($K$2:$K$600="")*($A$2:$A$600&lt;&gt;"")*((IF($G$2:$G$600="",99999999,$G$2:$G$600))&lt;IF($G380="",99999999,$G380)))+SUMPRODUCT(($J$2:$J380&gt;0)*($K$2:$K380="")*($A$2:$A380&lt;&gt;"")*((IF($G$2:$G380="",99999999,$G$2:$G380))=IF($G380="",99999999,$G380))),"")</f>
        <v/>
      </c>
      <c r="O380" s="0" t="str">
        <f aca="false">IF(AND($F380="Not Started",$A380&lt;&gt;""),SUMPRODUCT(($F$2:$F$600="Not Started")*($A$2:$A$600&lt;&gt;"")*((IF($G$2:$G$600="",99999999,$G$2:$G$600))&lt;IF($G380="",99999999,$G380)))+SUMPRODUCT(($F$2:$F380="Not Started")*($A$2:$A380&lt;&gt;"")*((IF($G$2:$G380="",99999999,$G$2:$G380))=IF($G380="",99999999,$G380))),"")</f>
        <v/>
      </c>
      <c r="P380" s="0" t="str">
        <f aca="false">IF(AND(OR($F380="In Progress",$F380="Pending Client Data",$F380="Under Review"),$A380&lt;&gt;""),SUMPRODUCT((($F$2:$F$600="In Progress")+($F$2:$F$600="Pending Client Data")+($F$2:$F$600="Under Review"))*($A$2:$A$600&lt;&gt;"")*((IF($G$2:$G$600="",99999999,$G$2:$G$600))&lt;IF($G380="",99999999,$G380)))+SUMPRODUCT((($F$2:$F380="In Progress")+($F$2:$F380="Pending Client Data")+($F$2:$F380="Under Review"))*($A$2:$A380&lt;&gt;"")*((IF($G$2:$G380="",99999999,$G$2:$G380))=IF($G380="",99999999,$G380))),"")</f>
        <v/>
      </c>
    </row>
    <row r="381" customFormat="false" ht="15" hidden="false" customHeight="false" outlineLevel="0" collapsed="false">
      <c r="A381" s="9"/>
      <c r="B381" s="9"/>
      <c r="C381" s="10" t="str">
        <f aca="false">IF($B381="","",IFERROR(INDEX('Client Master'!$C:$C,MATCH($B381,'Client Master'!$B:$B,0)),"Code not found"))</f>
        <v/>
      </c>
      <c r="D381" s="9"/>
      <c r="E381" s="9"/>
      <c r="F381" s="9"/>
      <c r="G381" s="11"/>
      <c r="H381" s="11"/>
      <c r="I381" s="9"/>
      <c r="J381" s="12"/>
      <c r="K381" s="11"/>
      <c r="L381" s="9"/>
      <c r="N381" s="0" t="str">
        <f aca="false">IF(AND($J381&gt;0,$K381="",$A381&lt;&gt;""),SUMPRODUCT(($J$2:$J$600&gt;0)*($K$2:$K$600="")*($A$2:$A$600&lt;&gt;"")*((IF($G$2:$G$600="",99999999,$G$2:$G$600))&lt;IF($G381="",99999999,$G381)))+SUMPRODUCT(($J$2:$J381&gt;0)*($K$2:$K381="")*($A$2:$A381&lt;&gt;"")*((IF($G$2:$G381="",99999999,$G$2:$G381))=IF($G381="",99999999,$G381))),"")</f>
        <v/>
      </c>
      <c r="O381" s="0" t="str">
        <f aca="false">IF(AND($F381="Not Started",$A381&lt;&gt;""),SUMPRODUCT(($F$2:$F$600="Not Started")*($A$2:$A$600&lt;&gt;"")*((IF($G$2:$G$600="",99999999,$G$2:$G$600))&lt;IF($G381="",99999999,$G381)))+SUMPRODUCT(($F$2:$F381="Not Started")*($A$2:$A381&lt;&gt;"")*((IF($G$2:$G381="",99999999,$G$2:$G381))=IF($G381="",99999999,$G381))),"")</f>
        <v/>
      </c>
      <c r="P381" s="0" t="str">
        <f aca="false">IF(AND(OR($F381="In Progress",$F381="Pending Client Data",$F381="Under Review"),$A381&lt;&gt;""),SUMPRODUCT((($F$2:$F$600="In Progress")+($F$2:$F$600="Pending Client Data")+($F$2:$F$600="Under Review"))*($A$2:$A$600&lt;&gt;"")*((IF($G$2:$G$600="",99999999,$G$2:$G$600))&lt;IF($G381="",99999999,$G381)))+SUMPRODUCT((($F$2:$F381="In Progress")+($F$2:$F381="Pending Client Data")+($F$2:$F381="Under Review"))*($A$2:$A381&lt;&gt;"")*((IF($G$2:$G381="",99999999,$G$2:$G381))=IF($G381="",99999999,$G381))),"")</f>
        <v/>
      </c>
    </row>
    <row r="382" customFormat="false" ht="15" hidden="false" customHeight="false" outlineLevel="0" collapsed="false">
      <c r="A382" s="9"/>
      <c r="B382" s="9"/>
      <c r="C382" s="10" t="str">
        <f aca="false">IF($B382="","",IFERROR(INDEX('Client Master'!$C:$C,MATCH($B382,'Client Master'!$B:$B,0)),"Code not found"))</f>
        <v/>
      </c>
      <c r="D382" s="9"/>
      <c r="E382" s="9"/>
      <c r="F382" s="9"/>
      <c r="G382" s="11"/>
      <c r="H382" s="11"/>
      <c r="I382" s="9"/>
      <c r="J382" s="12"/>
      <c r="K382" s="11"/>
      <c r="L382" s="9"/>
      <c r="N382" s="0" t="str">
        <f aca="false">IF(AND($J382&gt;0,$K382="",$A382&lt;&gt;""),SUMPRODUCT(($J$2:$J$600&gt;0)*($K$2:$K$600="")*($A$2:$A$600&lt;&gt;"")*((IF($G$2:$G$600="",99999999,$G$2:$G$600))&lt;IF($G382="",99999999,$G382)))+SUMPRODUCT(($J$2:$J382&gt;0)*($K$2:$K382="")*($A$2:$A382&lt;&gt;"")*((IF($G$2:$G382="",99999999,$G$2:$G382))=IF($G382="",99999999,$G382))),"")</f>
        <v/>
      </c>
      <c r="O382" s="0" t="str">
        <f aca="false">IF(AND($F382="Not Started",$A382&lt;&gt;""),SUMPRODUCT(($F$2:$F$600="Not Started")*($A$2:$A$600&lt;&gt;"")*((IF($G$2:$G$600="",99999999,$G$2:$G$600))&lt;IF($G382="",99999999,$G382)))+SUMPRODUCT(($F$2:$F382="Not Started")*($A$2:$A382&lt;&gt;"")*((IF($G$2:$G382="",99999999,$G$2:$G382))=IF($G382="",99999999,$G382))),"")</f>
        <v/>
      </c>
      <c r="P382" s="0" t="str">
        <f aca="false">IF(AND(OR($F382="In Progress",$F382="Pending Client Data",$F382="Under Review"),$A382&lt;&gt;""),SUMPRODUCT((($F$2:$F$600="In Progress")+($F$2:$F$600="Pending Client Data")+($F$2:$F$600="Under Review"))*($A$2:$A$600&lt;&gt;"")*((IF($G$2:$G$600="",99999999,$G$2:$G$600))&lt;IF($G382="",99999999,$G382)))+SUMPRODUCT((($F$2:$F382="In Progress")+($F$2:$F382="Pending Client Data")+($F$2:$F382="Under Review"))*($A$2:$A382&lt;&gt;"")*((IF($G$2:$G382="",99999999,$G$2:$G382))=IF($G382="",99999999,$G382))),"")</f>
        <v/>
      </c>
    </row>
    <row r="383" customFormat="false" ht="15" hidden="false" customHeight="false" outlineLevel="0" collapsed="false">
      <c r="A383" s="9"/>
      <c r="B383" s="9"/>
      <c r="C383" s="10" t="str">
        <f aca="false">IF($B383="","",IFERROR(INDEX('Client Master'!$C:$C,MATCH($B383,'Client Master'!$B:$B,0)),"Code not found"))</f>
        <v/>
      </c>
      <c r="D383" s="9"/>
      <c r="E383" s="9"/>
      <c r="F383" s="9"/>
      <c r="G383" s="11"/>
      <c r="H383" s="11"/>
      <c r="I383" s="9"/>
      <c r="J383" s="12"/>
      <c r="K383" s="11"/>
      <c r="L383" s="9"/>
      <c r="N383" s="0" t="str">
        <f aca="false">IF(AND($J383&gt;0,$K383="",$A383&lt;&gt;""),SUMPRODUCT(($J$2:$J$600&gt;0)*($K$2:$K$600="")*($A$2:$A$600&lt;&gt;"")*((IF($G$2:$G$600="",99999999,$G$2:$G$600))&lt;IF($G383="",99999999,$G383)))+SUMPRODUCT(($J$2:$J383&gt;0)*($K$2:$K383="")*($A$2:$A383&lt;&gt;"")*((IF($G$2:$G383="",99999999,$G$2:$G383))=IF($G383="",99999999,$G383))),"")</f>
        <v/>
      </c>
      <c r="O383" s="0" t="str">
        <f aca="false">IF(AND($F383="Not Started",$A383&lt;&gt;""),SUMPRODUCT(($F$2:$F$600="Not Started")*($A$2:$A$600&lt;&gt;"")*((IF($G$2:$G$600="",99999999,$G$2:$G$600))&lt;IF($G383="",99999999,$G383)))+SUMPRODUCT(($F$2:$F383="Not Started")*($A$2:$A383&lt;&gt;"")*((IF($G$2:$G383="",99999999,$G$2:$G383))=IF($G383="",99999999,$G383))),"")</f>
        <v/>
      </c>
      <c r="P383" s="0" t="str">
        <f aca="false">IF(AND(OR($F383="In Progress",$F383="Pending Client Data",$F383="Under Review"),$A383&lt;&gt;""),SUMPRODUCT((($F$2:$F$600="In Progress")+($F$2:$F$600="Pending Client Data")+($F$2:$F$600="Under Review"))*($A$2:$A$600&lt;&gt;"")*((IF($G$2:$G$600="",99999999,$G$2:$G$600))&lt;IF($G383="",99999999,$G383)))+SUMPRODUCT((($F$2:$F383="In Progress")+($F$2:$F383="Pending Client Data")+($F$2:$F383="Under Review"))*($A$2:$A383&lt;&gt;"")*((IF($G$2:$G383="",99999999,$G$2:$G383))=IF($G383="",99999999,$G383))),"")</f>
        <v/>
      </c>
    </row>
    <row r="384" customFormat="false" ht="15" hidden="false" customHeight="false" outlineLevel="0" collapsed="false">
      <c r="A384" s="9"/>
      <c r="B384" s="9"/>
      <c r="C384" s="10" t="str">
        <f aca="false">IF($B384="","",IFERROR(INDEX('Client Master'!$C:$C,MATCH($B384,'Client Master'!$B:$B,0)),"Code not found"))</f>
        <v/>
      </c>
      <c r="D384" s="9"/>
      <c r="E384" s="9"/>
      <c r="F384" s="9"/>
      <c r="G384" s="11"/>
      <c r="H384" s="11"/>
      <c r="I384" s="9"/>
      <c r="J384" s="12"/>
      <c r="K384" s="11"/>
      <c r="L384" s="9"/>
      <c r="N384" s="0" t="str">
        <f aca="false">IF(AND($J384&gt;0,$K384="",$A384&lt;&gt;""),SUMPRODUCT(($J$2:$J$600&gt;0)*($K$2:$K$600="")*($A$2:$A$600&lt;&gt;"")*((IF($G$2:$G$600="",99999999,$G$2:$G$600))&lt;IF($G384="",99999999,$G384)))+SUMPRODUCT(($J$2:$J384&gt;0)*($K$2:$K384="")*($A$2:$A384&lt;&gt;"")*((IF($G$2:$G384="",99999999,$G$2:$G384))=IF($G384="",99999999,$G384))),"")</f>
        <v/>
      </c>
      <c r="O384" s="0" t="str">
        <f aca="false">IF(AND($F384="Not Started",$A384&lt;&gt;""),SUMPRODUCT(($F$2:$F$600="Not Started")*($A$2:$A$600&lt;&gt;"")*((IF($G$2:$G$600="",99999999,$G$2:$G$600))&lt;IF($G384="",99999999,$G384)))+SUMPRODUCT(($F$2:$F384="Not Started")*($A$2:$A384&lt;&gt;"")*((IF($G$2:$G384="",99999999,$G$2:$G384))=IF($G384="",99999999,$G384))),"")</f>
        <v/>
      </c>
      <c r="P384" s="0" t="str">
        <f aca="false">IF(AND(OR($F384="In Progress",$F384="Pending Client Data",$F384="Under Review"),$A384&lt;&gt;""),SUMPRODUCT((($F$2:$F$600="In Progress")+($F$2:$F$600="Pending Client Data")+($F$2:$F$600="Under Review"))*($A$2:$A$600&lt;&gt;"")*((IF($G$2:$G$600="",99999999,$G$2:$G$600))&lt;IF($G384="",99999999,$G384)))+SUMPRODUCT((($F$2:$F384="In Progress")+($F$2:$F384="Pending Client Data")+($F$2:$F384="Under Review"))*($A$2:$A384&lt;&gt;"")*((IF($G$2:$G384="",99999999,$G$2:$G384))=IF($G384="",99999999,$G384))),"")</f>
        <v/>
      </c>
    </row>
    <row r="385" customFormat="false" ht="15" hidden="false" customHeight="false" outlineLevel="0" collapsed="false">
      <c r="A385" s="9"/>
      <c r="B385" s="9"/>
      <c r="C385" s="10" t="str">
        <f aca="false">IF($B385="","",IFERROR(INDEX('Client Master'!$C:$C,MATCH($B385,'Client Master'!$B:$B,0)),"Code not found"))</f>
        <v/>
      </c>
      <c r="D385" s="9"/>
      <c r="E385" s="9"/>
      <c r="F385" s="9"/>
      <c r="G385" s="11"/>
      <c r="H385" s="11"/>
      <c r="I385" s="9"/>
      <c r="J385" s="12"/>
      <c r="K385" s="11"/>
      <c r="L385" s="9"/>
      <c r="N385" s="0" t="str">
        <f aca="false">IF(AND($J385&gt;0,$K385="",$A385&lt;&gt;""),SUMPRODUCT(($J$2:$J$600&gt;0)*($K$2:$K$600="")*($A$2:$A$600&lt;&gt;"")*((IF($G$2:$G$600="",99999999,$G$2:$G$600))&lt;IF($G385="",99999999,$G385)))+SUMPRODUCT(($J$2:$J385&gt;0)*($K$2:$K385="")*($A$2:$A385&lt;&gt;"")*((IF($G$2:$G385="",99999999,$G$2:$G385))=IF($G385="",99999999,$G385))),"")</f>
        <v/>
      </c>
      <c r="O385" s="0" t="str">
        <f aca="false">IF(AND($F385="Not Started",$A385&lt;&gt;""),SUMPRODUCT(($F$2:$F$600="Not Started")*($A$2:$A$600&lt;&gt;"")*((IF($G$2:$G$600="",99999999,$G$2:$G$600))&lt;IF($G385="",99999999,$G385)))+SUMPRODUCT(($F$2:$F385="Not Started")*($A$2:$A385&lt;&gt;"")*((IF($G$2:$G385="",99999999,$G$2:$G385))=IF($G385="",99999999,$G385))),"")</f>
        <v/>
      </c>
      <c r="P385" s="0" t="str">
        <f aca="false">IF(AND(OR($F385="In Progress",$F385="Pending Client Data",$F385="Under Review"),$A385&lt;&gt;""),SUMPRODUCT((($F$2:$F$600="In Progress")+($F$2:$F$600="Pending Client Data")+($F$2:$F$600="Under Review"))*($A$2:$A$600&lt;&gt;"")*((IF($G$2:$G$600="",99999999,$G$2:$G$600))&lt;IF($G385="",99999999,$G385)))+SUMPRODUCT((($F$2:$F385="In Progress")+($F$2:$F385="Pending Client Data")+($F$2:$F385="Under Review"))*($A$2:$A385&lt;&gt;"")*((IF($G$2:$G385="",99999999,$G$2:$G385))=IF($G385="",99999999,$G385))),"")</f>
        <v/>
      </c>
    </row>
    <row r="386" customFormat="false" ht="15" hidden="false" customHeight="false" outlineLevel="0" collapsed="false">
      <c r="A386" s="9"/>
      <c r="B386" s="9"/>
      <c r="C386" s="10" t="str">
        <f aca="false">IF($B386="","",IFERROR(INDEX('Client Master'!$C:$C,MATCH($B386,'Client Master'!$B:$B,0)),"Code not found"))</f>
        <v/>
      </c>
      <c r="D386" s="9"/>
      <c r="E386" s="9"/>
      <c r="F386" s="9"/>
      <c r="G386" s="11"/>
      <c r="H386" s="11"/>
      <c r="I386" s="9"/>
      <c r="J386" s="12"/>
      <c r="K386" s="11"/>
      <c r="L386" s="9"/>
      <c r="N386" s="0" t="str">
        <f aca="false">IF(AND($J386&gt;0,$K386="",$A386&lt;&gt;""),SUMPRODUCT(($J$2:$J$600&gt;0)*($K$2:$K$600="")*($A$2:$A$600&lt;&gt;"")*((IF($G$2:$G$600="",99999999,$G$2:$G$600))&lt;IF($G386="",99999999,$G386)))+SUMPRODUCT(($J$2:$J386&gt;0)*($K$2:$K386="")*($A$2:$A386&lt;&gt;"")*((IF($G$2:$G386="",99999999,$G$2:$G386))=IF($G386="",99999999,$G386))),"")</f>
        <v/>
      </c>
      <c r="O386" s="0" t="str">
        <f aca="false">IF(AND($F386="Not Started",$A386&lt;&gt;""),SUMPRODUCT(($F$2:$F$600="Not Started")*($A$2:$A$600&lt;&gt;"")*((IF($G$2:$G$600="",99999999,$G$2:$G$600))&lt;IF($G386="",99999999,$G386)))+SUMPRODUCT(($F$2:$F386="Not Started")*($A$2:$A386&lt;&gt;"")*((IF($G$2:$G386="",99999999,$G$2:$G386))=IF($G386="",99999999,$G386))),"")</f>
        <v/>
      </c>
      <c r="P386" s="0" t="str">
        <f aca="false">IF(AND(OR($F386="In Progress",$F386="Pending Client Data",$F386="Under Review"),$A386&lt;&gt;""),SUMPRODUCT((($F$2:$F$600="In Progress")+($F$2:$F$600="Pending Client Data")+($F$2:$F$600="Under Review"))*($A$2:$A$600&lt;&gt;"")*((IF($G$2:$G$600="",99999999,$G$2:$G$600))&lt;IF($G386="",99999999,$G386)))+SUMPRODUCT((($F$2:$F386="In Progress")+($F$2:$F386="Pending Client Data")+($F$2:$F386="Under Review"))*($A$2:$A386&lt;&gt;"")*((IF($G$2:$G386="",99999999,$G$2:$G386))=IF($G386="",99999999,$G386))),"")</f>
        <v/>
      </c>
    </row>
    <row r="387" customFormat="false" ht="15" hidden="false" customHeight="false" outlineLevel="0" collapsed="false">
      <c r="A387" s="9"/>
      <c r="B387" s="9"/>
      <c r="C387" s="10" t="str">
        <f aca="false">IF($B387="","",IFERROR(INDEX('Client Master'!$C:$C,MATCH($B387,'Client Master'!$B:$B,0)),"Code not found"))</f>
        <v/>
      </c>
      <c r="D387" s="9"/>
      <c r="E387" s="9"/>
      <c r="F387" s="9"/>
      <c r="G387" s="11"/>
      <c r="H387" s="11"/>
      <c r="I387" s="9"/>
      <c r="J387" s="12"/>
      <c r="K387" s="11"/>
      <c r="L387" s="9"/>
      <c r="N387" s="0" t="str">
        <f aca="false">IF(AND($J387&gt;0,$K387="",$A387&lt;&gt;""),SUMPRODUCT(($J$2:$J$600&gt;0)*($K$2:$K$600="")*($A$2:$A$600&lt;&gt;"")*((IF($G$2:$G$600="",99999999,$G$2:$G$600))&lt;IF($G387="",99999999,$G387)))+SUMPRODUCT(($J$2:$J387&gt;0)*($K$2:$K387="")*($A$2:$A387&lt;&gt;"")*((IF($G$2:$G387="",99999999,$G$2:$G387))=IF($G387="",99999999,$G387))),"")</f>
        <v/>
      </c>
      <c r="O387" s="0" t="str">
        <f aca="false">IF(AND($F387="Not Started",$A387&lt;&gt;""),SUMPRODUCT(($F$2:$F$600="Not Started")*($A$2:$A$600&lt;&gt;"")*((IF($G$2:$G$600="",99999999,$G$2:$G$600))&lt;IF($G387="",99999999,$G387)))+SUMPRODUCT(($F$2:$F387="Not Started")*($A$2:$A387&lt;&gt;"")*((IF($G$2:$G387="",99999999,$G$2:$G387))=IF($G387="",99999999,$G387))),"")</f>
        <v/>
      </c>
      <c r="P387" s="0" t="str">
        <f aca="false">IF(AND(OR($F387="In Progress",$F387="Pending Client Data",$F387="Under Review"),$A387&lt;&gt;""),SUMPRODUCT((($F$2:$F$600="In Progress")+($F$2:$F$600="Pending Client Data")+($F$2:$F$600="Under Review"))*($A$2:$A$600&lt;&gt;"")*((IF($G$2:$G$600="",99999999,$G$2:$G$600))&lt;IF($G387="",99999999,$G387)))+SUMPRODUCT((($F$2:$F387="In Progress")+($F$2:$F387="Pending Client Data")+($F$2:$F387="Under Review"))*($A$2:$A387&lt;&gt;"")*((IF($G$2:$G387="",99999999,$G$2:$G387))=IF($G387="",99999999,$G387))),"")</f>
        <v/>
      </c>
    </row>
    <row r="388" customFormat="false" ht="15" hidden="false" customHeight="false" outlineLevel="0" collapsed="false">
      <c r="A388" s="9"/>
      <c r="B388" s="9"/>
      <c r="C388" s="10" t="str">
        <f aca="false">IF($B388="","",IFERROR(INDEX('Client Master'!$C:$C,MATCH($B388,'Client Master'!$B:$B,0)),"Code not found"))</f>
        <v/>
      </c>
      <c r="D388" s="9"/>
      <c r="E388" s="9"/>
      <c r="F388" s="9"/>
      <c r="G388" s="11"/>
      <c r="H388" s="11"/>
      <c r="I388" s="9"/>
      <c r="J388" s="12"/>
      <c r="K388" s="11"/>
      <c r="L388" s="9"/>
      <c r="N388" s="0" t="str">
        <f aca="false">IF(AND($J388&gt;0,$K388="",$A388&lt;&gt;""),SUMPRODUCT(($J$2:$J$600&gt;0)*($K$2:$K$600="")*($A$2:$A$600&lt;&gt;"")*((IF($G$2:$G$600="",99999999,$G$2:$G$600))&lt;IF($G388="",99999999,$G388)))+SUMPRODUCT(($J$2:$J388&gt;0)*($K$2:$K388="")*($A$2:$A388&lt;&gt;"")*((IF($G$2:$G388="",99999999,$G$2:$G388))=IF($G388="",99999999,$G388))),"")</f>
        <v/>
      </c>
      <c r="O388" s="0" t="str">
        <f aca="false">IF(AND($F388="Not Started",$A388&lt;&gt;""),SUMPRODUCT(($F$2:$F$600="Not Started")*($A$2:$A$600&lt;&gt;"")*((IF($G$2:$G$600="",99999999,$G$2:$G$600))&lt;IF($G388="",99999999,$G388)))+SUMPRODUCT(($F$2:$F388="Not Started")*($A$2:$A388&lt;&gt;"")*((IF($G$2:$G388="",99999999,$G$2:$G388))=IF($G388="",99999999,$G388))),"")</f>
        <v/>
      </c>
      <c r="P388" s="0" t="str">
        <f aca="false">IF(AND(OR($F388="In Progress",$F388="Pending Client Data",$F388="Under Review"),$A388&lt;&gt;""),SUMPRODUCT((($F$2:$F$600="In Progress")+($F$2:$F$600="Pending Client Data")+($F$2:$F$600="Under Review"))*($A$2:$A$600&lt;&gt;"")*((IF($G$2:$G$600="",99999999,$G$2:$G$600))&lt;IF($G388="",99999999,$G388)))+SUMPRODUCT((($F$2:$F388="In Progress")+($F$2:$F388="Pending Client Data")+($F$2:$F388="Under Review"))*($A$2:$A388&lt;&gt;"")*((IF($G$2:$G388="",99999999,$G$2:$G388))=IF($G388="",99999999,$G388))),"")</f>
        <v/>
      </c>
    </row>
    <row r="389" customFormat="false" ht="15" hidden="false" customHeight="false" outlineLevel="0" collapsed="false">
      <c r="A389" s="9"/>
      <c r="B389" s="9"/>
      <c r="C389" s="10" t="str">
        <f aca="false">IF($B389="","",IFERROR(INDEX('Client Master'!$C:$C,MATCH($B389,'Client Master'!$B:$B,0)),"Code not found"))</f>
        <v/>
      </c>
      <c r="D389" s="9"/>
      <c r="E389" s="9"/>
      <c r="F389" s="9"/>
      <c r="G389" s="11"/>
      <c r="H389" s="11"/>
      <c r="I389" s="9"/>
      <c r="J389" s="12"/>
      <c r="K389" s="11"/>
      <c r="L389" s="9"/>
      <c r="N389" s="0" t="str">
        <f aca="false">IF(AND($J389&gt;0,$K389="",$A389&lt;&gt;""),SUMPRODUCT(($J$2:$J$600&gt;0)*($K$2:$K$600="")*($A$2:$A$600&lt;&gt;"")*((IF($G$2:$G$600="",99999999,$G$2:$G$600))&lt;IF($G389="",99999999,$G389)))+SUMPRODUCT(($J$2:$J389&gt;0)*($K$2:$K389="")*($A$2:$A389&lt;&gt;"")*((IF($G$2:$G389="",99999999,$G$2:$G389))=IF($G389="",99999999,$G389))),"")</f>
        <v/>
      </c>
      <c r="O389" s="0" t="str">
        <f aca="false">IF(AND($F389="Not Started",$A389&lt;&gt;""),SUMPRODUCT(($F$2:$F$600="Not Started")*($A$2:$A$600&lt;&gt;"")*((IF($G$2:$G$600="",99999999,$G$2:$G$600))&lt;IF($G389="",99999999,$G389)))+SUMPRODUCT(($F$2:$F389="Not Started")*($A$2:$A389&lt;&gt;"")*((IF($G$2:$G389="",99999999,$G$2:$G389))=IF($G389="",99999999,$G389))),"")</f>
        <v/>
      </c>
      <c r="P389" s="0" t="str">
        <f aca="false">IF(AND(OR($F389="In Progress",$F389="Pending Client Data",$F389="Under Review"),$A389&lt;&gt;""),SUMPRODUCT((($F$2:$F$600="In Progress")+($F$2:$F$600="Pending Client Data")+($F$2:$F$600="Under Review"))*($A$2:$A$600&lt;&gt;"")*((IF($G$2:$G$600="",99999999,$G$2:$G$600))&lt;IF($G389="",99999999,$G389)))+SUMPRODUCT((($F$2:$F389="In Progress")+($F$2:$F389="Pending Client Data")+($F$2:$F389="Under Review"))*($A$2:$A389&lt;&gt;"")*((IF($G$2:$G389="",99999999,$G$2:$G389))=IF($G389="",99999999,$G389))),"")</f>
        <v/>
      </c>
    </row>
    <row r="390" customFormat="false" ht="15" hidden="false" customHeight="false" outlineLevel="0" collapsed="false">
      <c r="A390" s="9"/>
      <c r="B390" s="9"/>
      <c r="C390" s="10" t="str">
        <f aca="false">IF($B390="","",IFERROR(INDEX('Client Master'!$C:$C,MATCH($B390,'Client Master'!$B:$B,0)),"Code not found"))</f>
        <v/>
      </c>
      <c r="D390" s="9"/>
      <c r="E390" s="9"/>
      <c r="F390" s="9"/>
      <c r="G390" s="11"/>
      <c r="H390" s="11"/>
      <c r="I390" s="9"/>
      <c r="J390" s="12"/>
      <c r="K390" s="11"/>
      <c r="L390" s="9"/>
      <c r="N390" s="0" t="str">
        <f aca="false">IF(AND($J390&gt;0,$K390="",$A390&lt;&gt;""),SUMPRODUCT(($J$2:$J$600&gt;0)*($K$2:$K$600="")*($A$2:$A$600&lt;&gt;"")*((IF($G$2:$G$600="",99999999,$G$2:$G$600))&lt;IF($G390="",99999999,$G390)))+SUMPRODUCT(($J$2:$J390&gt;0)*($K$2:$K390="")*($A$2:$A390&lt;&gt;"")*((IF($G$2:$G390="",99999999,$G$2:$G390))=IF($G390="",99999999,$G390))),"")</f>
        <v/>
      </c>
      <c r="O390" s="0" t="str">
        <f aca="false">IF(AND($F390="Not Started",$A390&lt;&gt;""),SUMPRODUCT(($F$2:$F$600="Not Started")*($A$2:$A$600&lt;&gt;"")*((IF($G$2:$G$600="",99999999,$G$2:$G$600))&lt;IF($G390="",99999999,$G390)))+SUMPRODUCT(($F$2:$F390="Not Started")*($A$2:$A390&lt;&gt;"")*((IF($G$2:$G390="",99999999,$G$2:$G390))=IF($G390="",99999999,$G390))),"")</f>
        <v/>
      </c>
      <c r="P390" s="0" t="str">
        <f aca="false">IF(AND(OR($F390="In Progress",$F390="Pending Client Data",$F390="Under Review"),$A390&lt;&gt;""),SUMPRODUCT((($F$2:$F$600="In Progress")+($F$2:$F$600="Pending Client Data")+($F$2:$F$600="Under Review"))*($A$2:$A$600&lt;&gt;"")*((IF($G$2:$G$600="",99999999,$G$2:$G$600))&lt;IF($G390="",99999999,$G390)))+SUMPRODUCT((($F$2:$F390="In Progress")+($F$2:$F390="Pending Client Data")+($F$2:$F390="Under Review"))*($A$2:$A390&lt;&gt;"")*((IF($G$2:$G390="",99999999,$G$2:$G390))=IF($G390="",99999999,$G390))),"")</f>
        <v/>
      </c>
    </row>
    <row r="391" customFormat="false" ht="15" hidden="false" customHeight="false" outlineLevel="0" collapsed="false">
      <c r="A391" s="9"/>
      <c r="B391" s="9"/>
      <c r="C391" s="10" t="str">
        <f aca="false">IF($B391="","",IFERROR(INDEX('Client Master'!$C:$C,MATCH($B391,'Client Master'!$B:$B,0)),"Code not found"))</f>
        <v/>
      </c>
      <c r="D391" s="9"/>
      <c r="E391" s="9"/>
      <c r="F391" s="9"/>
      <c r="G391" s="11"/>
      <c r="H391" s="11"/>
      <c r="I391" s="9"/>
      <c r="J391" s="12"/>
      <c r="K391" s="11"/>
      <c r="L391" s="9"/>
      <c r="N391" s="0" t="str">
        <f aca="false">IF(AND($J391&gt;0,$K391="",$A391&lt;&gt;""),SUMPRODUCT(($J$2:$J$600&gt;0)*($K$2:$K$600="")*($A$2:$A$600&lt;&gt;"")*((IF($G$2:$G$600="",99999999,$G$2:$G$600))&lt;IF($G391="",99999999,$G391)))+SUMPRODUCT(($J$2:$J391&gt;0)*($K$2:$K391="")*($A$2:$A391&lt;&gt;"")*((IF($G$2:$G391="",99999999,$G$2:$G391))=IF($G391="",99999999,$G391))),"")</f>
        <v/>
      </c>
      <c r="O391" s="0" t="str">
        <f aca="false">IF(AND($F391="Not Started",$A391&lt;&gt;""),SUMPRODUCT(($F$2:$F$600="Not Started")*($A$2:$A$600&lt;&gt;"")*((IF($G$2:$G$600="",99999999,$G$2:$G$600))&lt;IF($G391="",99999999,$G391)))+SUMPRODUCT(($F$2:$F391="Not Started")*($A$2:$A391&lt;&gt;"")*((IF($G$2:$G391="",99999999,$G$2:$G391))=IF($G391="",99999999,$G391))),"")</f>
        <v/>
      </c>
      <c r="P391" s="0" t="str">
        <f aca="false">IF(AND(OR($F391="In Progress",$F391="Pending Client Data",$F391="Under Review"),$A391&lt;&gt;""),SUMPRODUCT((($F$2:$F$600="In Progress")+($F$2:$F$600="Pending Client Data")+($F$2:$F$600="Under Review"))*($A$2:$A$600&lt;&gt;"")*((IF($G$2:$G$600="",99999999,$G$2:$G$600))&lt;IF($G391="",99999999,$G391)))+SUMPRODUCT((($F$2:$F391="In Progress")+($F$2:$F391="Pending Client Data")+($F$2:$F391="Under Review"))*($A$2:$A391&lt;&gt;"")*((IF($G$2:$G391="",99999999,$G$2:$G391))=IF($G391="",99999999,$G391))),"")</f>
        <v/>
      </c>
    </row>
    <row r="392" customFormat="false" ht="15" hidden="false" customHeight="false" outlineLevel="0" collapsed="false">
      <c r="A392" s="9"/>
      <c r="B392" s="9"/>
      <c r="C392" s="10" t="str">
        <f aca="false">IF($B392="","",IFERROR(INDEX('Client Master'!$C:$C,MATCH($B392,'Client Master'!$B:$B,0)),"Code not found"))</f>
        <v/>
      </c>
      <c r="D392" s="9"/>
      <c r="E392" s="9"/>
      <c r="F392" s="9"/>
      <c r="G392" s="11"/>
      <c r="H392" s="11"/>
      <c r="I392" s="9"/>
      <c r="J392" s="12"/>
      <c r="K392" s="11"/>
      <c r="L392" s="9"/>
      <c r="N392" s="0" t="str">
        <f aca="false">IF(AND($J392&gt;0,$K392="",$A392&lt;&gt;""),SUMPRODUCT(($J$2:$J$600&gt;0)*($K$2:$K$600="")*($A$2:$A$600&lt;&gt;"")*((IF($G$2:$G$600="",99999999,$G$2:$G$600))&lt;IF($G392="",99999999,$G392)))+SUMPRODUCT(($J$2:$J392&gt;0)*($K$2:$K392="")*($A$2:$A392&lt;&gt;"")*((IF($G$2:$G392="",99999999,$G$2:$G392))=IF($G392="",99999999,$G392))),"")</f>
        <v/>
      </c>
      <c r="O392" s="0" t="str">
        <f aca="false">IF(AND($F392="Not Started",$A392&lt;&gt;""),SUMPRODUCT(($F$2:$F$600="Not Started")*($A$2:$A$600&lt;&gt;"")*((IF($G$2:$G$600="",99999999,$G$2:$G$600))&lt;IF($G392="",99999999,$G392)))+SUMPRODUCT(($F$2:$F392="Not Started")*($A$2:$A392&lt;&gt;"")*((IF($G$2:$G392="",99999999,$G$2:$G392))=IF($G392="",99999999,$G392))),"")</f>
        <v/>
      </c>
      <c r="P392" s="0" t="str">
        <f aca="false">IF(AND(OR($F392="In Progress",$F392="Pending Client Data",$F392="Under Review"),$A392&lt;&gt;""),SUMPRODUCT((($F$2:$F$600="In Progress")+($F$2:$F$600="Pending Client Data")+($F$2:$F$600="Under Review"))*($A$2:$A$600&lt;&gt;"")*((IF($G$2:$G$600="",99999999,$G$2:$G$600))&lt;IF($G392="",99999999,$G392)))+SUMPRODUCT((($F$2:$F392="In Progress")+($F$2:$F392="Pending Client Data")+($F$2:$F392="Under Review"))*($A$2:$A392&lt;&gt;"")*((IF($G$2:$G392="",99999999,$G$2:$G392))=IF($G392="",99999999,$G392))),"")</f>
        <v/>
      </c>
    </row>
    <row r="393" customFormat="false" ht="15" hidden="false" customHeight="false" outlineLevel="0" collapsed="false">
      <c r="A393" s="9"/>
      <c r="B393" s="9"/>
      <c r="C393" s="10" t="str">
        <f aca="false">IF($B393="","",IFERROR(INDEX('Client Master'!$C:$C,MATCH($B393,'Client Master'!$B:$B,0)),"Code not found"))</f>
        <v/>
      </c>
      <c r="D393" s="9"/>
      <c r="E393" s="9"/>
      <c r="F393" s="9"/>
      <c r="G393" s="11"/>
      <c r="H393" s="11"/>
      <c r="I393" s="9"/>
      <c r="J393" s="12"/>
      <c r="K393" s="11"/>
      <c r="L393" s="9"/>
      <c r="N393" s="0" t="str">
        <f aca="false">IF(AND($J393&gt;0,$K393="",$A393&lt;&gt;""),SUMPRODUCT(($J$2:$J$600&gt;0)*($K$2:$K$600="")*($A$2:$A$600&lt;&gt;"")*((IF($G$2:$G$600="",99999999,$G$2:$G$600))&lt;IF($G393="",99999999,$G393)))+SUMPRODUCT(($J$2:$J393&gt;0)*($K$2:$K393="")*($A$2:$A393&lt;&gt;"")*((IF($G$2:$G393="",99999999,$G$2:$G393))=IF($G393="",99999999,$G393))),"")</f>
        <v/>
      </c>
      <c r="O393" s="0" t="str">
        <f aca="false">IF(AND($F393="Not Started",$A393&lt;&gt;""),SUMPRODUCT(($F$2:$F$600="Not Started")*($A$2:$A$600&lt;&gt;"")*((IF($G$2:$G$600="",99999999,$G$2:$G$600))&lt;IF($G393="",99999999,$G393)))+SUMPRODUCT(($F$2:$F393="Not Started")*($A$2:$A393&lt;&gt;"")*((IF($G$2:$G393="",99999999,$G$2:$G393))=IF($G393="",99999999,$G393))),"")</f>
        <v/>
      </c>
      <c r="P393" s="0" t="str">
        <f aca="false">IF(AND(OR($F393="In Progress",$F393="Pending Client Data",$F393="Under Review"),$A393&lt;&gt;""),SUMPRODUCT((($F$2:$F$600="In Progress")+($F$2:$F$600="Pending Client Data")+($F$2:$F$600="Under Review"))*($A$2:$A$600&lt;&gt;"")*((IF($G$2:$G$600="",99999999,$G$2:$G$600))&lt;IF($G393="",99999999,$G393)))+SUMPRODUCT((($F$2:$F393="In Progress")+($F$2:$F393="Pending Client Data")+($F$2:$F393="Under Review"))*($A$2:$A393&lt;&gt;"")*((IF($G$2:$G393="",99999999,$G$2:$G393))=IF($G393="",99999999,$G393))),"")</f>
        <v/>
      </c>
    </row>
    <row r="394" customFormat="false" ht="15" hidden="false" customHeight="false" outlineLevel="0" collapsed="false">
      <c r="A394" s="9"/>
      <c r="B394" s="9"/>
      <c r="C394" s="10" t="str">
        <f aca="false">IF($B394="","",IFERROR(INDEX('Client Master'!$C:$C,MATCH($B394,'Client Master'!$B:$B,0)),"Code not found"))</f>
        <v/>
      </c>
      <c r="D394" s="9"/>
      <c r="E394" s="9"/>
      <c r="F394" s="9"/>
      <c r="G394" s="11"/>
      <c r="H394" s="11"/>
      <c r="I394" s="9"/>
      <c r="J394" s="12"/>
      <c r="K394" s="11"/>
      <c r="L394" s="9"/>
      <c r="N394" s="0" t="str">
        <f aca="false">IF(AND($J394&gt;0,$K394="",$A394&lt;&gt;""),SUMPRODUCT(($J$2:$J$600&gt;0)*($K$2:$K$600="")*($A$2:$A$600&lt;&gt;"")*((IF($G$2:$G$600="",99999999,$G$2:$G$600))&lt;IF($G394="",99999999,$G394)))+SUMPRODUCT(($J$2:$J394&gt;0)*($K$2:$K394="")*($A$2:$A394&lt;&gt;"")*((IF($G$2:$G394="",99999999,$G$2:$G394))=IF($G394="",99999999,$G394))),"")</f>
        <v/>
      </c>
      <c r="O394" s="0" t="str">
        <f aca="false">IF(AND($F394="Not Started",$A394&lt;&gt;""),SUMPRODUCT(($F$2:$F$600="Not Started")*($A$2:$A$600&lt;&gt;"")*((IF($G$2:$G$600="",99999999,$G$2:$G$600))&lt;IF($G394="",99999999,$G394)))+SUMPRODUCT(($F$2:$F394="Not Started")*($A$2:$A394&lt;&gt;"")*((IF($G$2:$G394="",99999999,$G$2:$G394))=IF($G394="",99999999,$G394))),"")</f>
        <v/>
      </c>
      <c r="P394" s="0" t="str">
        <f aca="false">IF(AND(OR($F394="In Progress",$F394="Pending Client Data",$F394="Under Review"),$A394&lt;&gt;""),SUMPRODUCT((($F$2:$F$600="In Progress")+($F$2:$F$600="Pending Client Data")+($F$2:$F$600="Under Review"))*($A$2:$A$600&lt;&gt;"")*((IF($G$2:$G$600="",99999999,$G$2:$G$600))&lt;IF($G394="",99999999,$G394)))+SUMPRODUCT((($F$2:$F394="In Progress")+($F$2:$F394="Pending Client Data")+($F$2:$F394="Under Review"))*($A$2:$A394&lt;&gt;"")*((IF($G$2:$G394="",99999999,$G$2:$G394))=IF($G394="",99999999,$G394))),"")</f>
        <v/>
      </c>
    </row>
    <row r="395" customFormat="false" ht="15" hidden="false" customHeight="false" outlineLevel="0" collapsed="false">
      <c r="A395" s="9"/>
      <c r="B395" s="9"/>
      <c r="C395" s="10" t="str">
        <f aca="false">IF($B395="","",IFERROR(INDEX('Client Master'!$C:$C,MATCH($B395,'Client Master'!$B:$B,0)),"Code not found"))</f>
        <v/>
      </c>
      <c r="D395" s="9"/>
      <c r="E395" s="9"/>
      <c r="F395" s="9"/>
      <c r="G395" s="11"/>
      <c r="H395" s="11"/>
      <c r="I395" s="9"/>
      <c r="J395" s="12"/>
      <c r="K395" s="11"/>
      <c r="L395" s="9"/>
      <c r="N395" s="0" t="str">
        <f aca="false">IF(AND($J395&gt;0,$K395="",$A395&lt;&gt;""),SUMPRODUCT(($J$2:$J$600&gt;0)*($K$2:$K$600="")*($A$2:$A$600&lt;&gt;"")*((IF($G$2:$G$600="",99999999,$G$2:$G$600))&lt;IF($G395="",99999999,$G395)))+SUMPRODUCT(($J$2:$J395&gt;0)*($K$2:$K395="")*($A$2:$A395&lt;&gt;"")*((IF($G$2:$G395="",99999999,$G$2:$G395))=IF($G395="",99999999,$G395))),"")</f>
        <v/>
      </c>
      <c r="O395" s="0" t="str">
        <f aca="false">IF(AND($F395="Not Started",$A395&lt;&gt;""),SUMPRODUCT(($F$2:$F$600="Not Started")*($A$2:$A$600&lt;&gt;"")*((IF($G$2:$G$600="",99999999,$G$2:$G$600))&lt;IF($G395="",99999999,$G395)))+SUMPRODUCT(($F$2:$F395="Not Started")*($A$2:$A395&lt;&gt;"")*((IF($G$2:$G395="",99999999,$G$2:$G395))=IF($G395="",99999999,$G395))),"")</f>
        <v/>
      </c>
      <c r="P395" s="0" t="str">
        <f aca="false">IF(AND(OR($F395="In Progress",$F395="Pending Client Data",$F395="Under Review"),$A395&lt;&gt;""),SUMPRODUCT((($F$2:$F$600="In Progress")+($F$2:$F$600="Pending Client Data")+($F$2:$F$600="Under Review"))*($A$2:$A$600&lt;&gt;"")*((IF($G$2:$G$600="",99999999,$G$2:$G$600))&lt;IF($G395="",99999999,$G395)))+SUMPRODUCT((($F$2:$F395="In Progress")+($F$2:$F395="Pending Client Data")+($F$2:$F395="Under Review"))*($A$2:$A395&lt;&gt;"")*((IF($G$2:$G395="",99999999,$G$2:$G395))=IF($G395="",99999999,$G395))),"")</f>
        <v/>
      </c>
    </row>
    <row r="396" customFormat="false" ht="15" hidden="false" customHeight="false" outlineLevel="0" collapsed="false">
      <c r="A396" s="9"/>
      <c r="B396" s="9"/>
      <c r="C396" s="10" t="str">
        <f aca="false">IF($B396="","",IFERROR(INDEX('Client Master'!$C:$C,MATCH($B396,'Client Master'!$B:$B,0)),"Code not found"))</f>
        <v/>
      </c>
      <c r="D396" s="9"/>
      <c r="E396" s="9"/>
      <c r="F396" s="9"/>
      <c r="G396" s="11"/>
      <c r="H396" s="11"/>
      <c r="I396" s="9"/>
      <c r="J396" s="12"/>
      <c r="K396" s="11"/>
      <c r="L396" s="9"/>
      <c r="N396" s="0" t="str">
        <f aca="false">IF(AND($J396&gt;0,$K396="",$A396&lt;&gt;""),SUMPRODUCT(($J$2:$J$600&gt;0)*($K$2:$K$600="")*($A$2:$A$600&lt;&gt;"")*((IF($G$2:$G$600="",99999999,$G$2:$G$600))&lt;IF($G396="",99999999,$G396)))+SUMPRODUCT(($J$2:$J396&gt;0)*($K$2:$K396="")*($A$2:$A396&lt;&gt;"")*((IF($G$2:$G396="",99999999,$G$2:$G396))=IF($G396="",99999999,$G396))),"")</f>
        <v/>
      </c>
      <c r="O396" s="0" t="str">
        <f aca="false">IF(AND($F396="Not Started",$A396&lt;&gt;""),SUMPRODUCT(($F$2:$F$600="Not Started")*($A$2:$A$600&lt;&gt;"")*((IF($G$2:$G$600="",99999999,$G$2:$G$600))&lt;IF($G396="",99999999,$G396)))+SUMPRODUCT(($F$2:$F396="Not Started")*($A$2:$A396&lt;&gt;"")*((IF($G$2:$G396="",99999999,$G$2:$G396))=IF($G396="",99999999,$G396))),"")</f>
        <v/>
      </c>
      <c r="P396" s="0" t="str">
        <f aca="false">IF(AND(OR($F396="In Progress",$F396="Pending Client Data",$F396="Under Review"),$A396&lt;&gt;""),SUMPRODUCT((($F$2:$F$600="In Progress")+($F$2:$F$600="Pending Client Data")+($F$2:$F$600="Under Review"))*($A$2:$A$600&lt;&gt;"")*((IF($G$2:$G$600="",99999999,$G$2:$G$600))&lt;IF($G396="",99999999,$G396)))+SUMPRODUCT((($F$2:$F396="In Progress")+($F$2:$F396="Pending Client Data")+($F$2:$F396="Under Review"))*($A$2:$A396&lt;&gt;"")*((IF($G$2:$G396="",99999999,$G$2:$G396))=IF($G396="",99999999,$G396))),"")</f>
        <v/>
      </c>
    </row>
    <row r="397" customFormat="false" ht="15" hidden="false" customHeight="false" outlineLevel="0" collapsed="false">
      <c r="A397" s="9"/>
      <c r="B397" s="9"/>
      <c r="C397" s="10" t="str">
        <f aca="false">IF($B397="","",IFERROR(INDEX('Client Master'!$C:$C,MATCH($B397,'Client Master'!$B:$B,0)),"Code not found"))</f>
        <v/>
      </c>
      <c r="D397" s="9"/>
      <c r="E397" s="9"/>
      <c r="F397" s="9"/>
      <c r="G397" s="11"/>
      <c r="H397" s="11"/>
      <c r="I397" s="9"/>
      <c r="J397" s="12"/>
      <c r="K397" s="11"/>
      <c r="L397" s="9"/>
      <c r="N397" s="0" t="str">
        <f aca="false">IF(AND($J397&gt;0,$K397="",$A397&lt;&gt;""),SUMPRODUCT(($J$2:$J$600&gt;0)*($K$2:$K$600="")*($A$2:$A$600&lt;&gt;"")*((IF($G$2:$G$600="",99999999,$G$2:$G$600))&lt;IF($G397="",99999999,$G397)))+SUMPRODUCT(($J$2:$J397&gt;0)*($K$2:$K397="")*($A$2:$A397&lt;&gt;"")*((IF($G$2:$G397="",99999999,$G$2:$G397))=IF($G397="",99999999,$G397))),"")</f>
        <v/>
      </c>
      <c r="O397" s="0" t="str">
        <f aca="false">IF(AND($F397="Not Started",$A397&lt;&gt;""),SUMPRODUCT(($F$2:$F$600="Not Started")*($A$2:$A$600&lt;&gt;"")*((IF($G$2:$G$600="",99999999,$G$2:$G$600))&lt;IF($G397="",99999999,$G397)))+SUMPRODUCT(($F$2:$F397="Not Started")*($A$2:$A397&lt;&gt;"")*((IF($G$2:$G397="",99999999,$G$2:$G397))=IF($G397="",99999999,$G397))),"")</f>
        <v/>
      </c>
      <c r="P397" s="0" t="str">
        <f aca="false">IF(AND(OR($F397="In Progress",$F397="Pending Client Data",$F397="Under Review"),$A397&lt;&gt;""),SUMPRODUCT((($F$2:$F$600="In Progress")+($F$2:$F$600="Pending Client Data")+($F$2:$F$600="Under Review"))*($A$2:$A$600&lt;&gt;"")*((IF($G$2:$G$600="",99999999,$G$2:$G$600))&lt;IF($G397="",99999999,$G397)))+SUMPRODUCT((($F$2:$F397="In Progress")+($F$2:$F397="Pending Client Data")+($F$2:$F397="Under Review"))*($A$2:$A397&lt;&gt;"")*((IF($G$2:$G397="",99999999,$G$2:$G397))=IF($G397="",99999999,$G397))),"")</f>
        <v/>
      </c>
    </row>
    <row r="398" customFormat="false" ht="15" hidden="false" customHeight="false" outlineLevel="0" collapsed="false">
      <c r="A398" s="9"/>
      <c r="B398" s="9"/>
      <c r="C398" s="10" t="str">
        <f aca="false">IF($B398="","",IFERROR(INDEX('Client Master'!$C:$C,MATCH($B398,'Client Master'!$B:$B,0)),"Code not found"))</f>
        <v/>
      </c>
      <c r="D398" s="9"/>
      <c r="E398" s="9"/>
      <c r="F398" s="9"/>
      <c r="G398" s="11"/>
      <c r="H398" s="11"/>
      <c r="I398" s="9"/>
      <c r="J398" s="12"/>
      <c r="K398" s="11"/>
      <c r="L398" s="9"/>
      <c r="N398" s="0" t="str">
        <f aca="false">IF(AND($J398&gt;0,$K398="",$A398&lt;&gt;""),SUMPRODUCT(($J$2:$J$600&gt;0)*($K$2:$K$600="")*($A$2:$A$600&lt;&gt;"")*((IF($G$2:$G$600="",99999999,$G$2:$G$600))&lt;IF($G398="",99999999,$G398)))+SUMPRODUCT(($J$2:$J398&gt;0)*($K$2:$K398="")*($A$2:$A398&lt;&gt;"")*((IF($G$2:$G398="",99999999,$G$2:$G398))=IF($G398="",99999999,$G398))),"")</f>
        <v/>
      </c>
      <c r="O398" s="0" t="str">
        <f aca="false">IF(AND($F398="Not Started",$A398&lt;&gt;""),SUMPRODUCT(($F$2:$F$600="Not Started")*($A$2:$A$600&lt;&gt;"")*((IF($G$2:$G$600="",99999999,$G$2:$G$600))&lt;IF($G398="",99999999,$G398)))+SUMPRODUCT(($F$2:$F398="Not Started")*($A$2:$A398&lt;&gt;"")*((IF($G$2:$G398="",99999999,$G$2:$G398))=IF($G398="",99999999,$G398))),"")</f>
        <v/>
      </c>
      <c r="P398" s="0" t="str">
        <f aca="false">IF(AND(OR($F398="In Progress",$F398="Pending Client Data",$F398="Under Review"),$A398&lt;&gt;""),SUMPRODUCT((($F$2:$F$600="In Progress")+($F$2:$F$600="Pending Client Data")+($F$2:$F$600="Under Review"))*($A$2:$A$600&lt;&gt;"")*((IF($G$2:$G$600="",99999999,$G$2:$G$600))&lt;IF($G398="",99999999,$G398)))+SUMPRODUCT((($F$2:$F398="In Progress")+($F$2:$F398="Pending Client Data")+($F$2:$F398="Under Review"))*($A$2:$A398&lt;&gt;"")*((IF($G$2:$G398="",99999999,$G$2:$G398))=IF($G398="",99999999,$G398))),"")</f>
        <v/>
      </c>
    </row>
    <row r="399" customFormat="false" ht="15" hidden="false" customHeight="false" outlineLevel="0" collapsed="false">
      <c r="A399" s="9"/>
      <c r="B399" s="9"/>
      <c r="C399" s="10" t="str">
        <f aca="false">IF($B399="","",IFERROR(INDEX('Client Master'!$C:$C,MATCH($B399,'Client Master'!$B:$B,0)),"Code not found"))</f>
        <v/>
      </c>
      <c r="D399" s="9"/>
      <c r="E399" s="9"/>
      <c r="F399" s="9"/>
      <c r="G399" s="11"/>
      <c r="H399" s="11"/>
      <c r="I399" s="9"/>
      <c r="J399" s="12"/>
      <c r="K399" s="11"/>
      <c r="L399" s="9"/>
      <c r="N399" s="0" t="str">
        <f aca="false">IF(AND($J399&gt;0,$K399="",$A399&lt;&gt;""),SUMPRODUCT(($J$2:$J$600&gt;0)*($K$2:$K$600="")*($A$2:$A$600&lt;&gt;"")*((IF($G$2:$G$600="",99999999,$G$2:$G$600))&lt;IF($G399="",99999999,$G399)))+SUMPRODUCT(($J$2:$J399&gt;0)*($K$2:$K399="")*($A$2:$A399&lt;&gt;"")*((IF($G$2:$G399="",99999999,$G$2:$G399))=IF($G399="",99999999,$G399))),"")</f>
        <v/>
      </c>
      <c r="O399" s="0" t="str">
        <f aca="false">IF(AND($F399="Not Started",$A399&lt;&gt;""),SUMPRODUCT(($F$2:$F$600="Not Started")*($A$2:$A$600&lt;&gt;"")*((IF($G$2:$G$600="",99999999,$G$2:$G$600))&lt;IF($G399="",99999999,$G399)))+SUMPRODUCT(($F$2:$F399="Not Started")*($A$2:$A399&lt;&gt;"")*((IF($G$2:$G399="",99999999,$G$2:$G399))=IF($G399="",99999999,$G399))),"")</f>
        <v/>
      </c>
      <c r="P399" s="0" t="str">
        <f aca="false">IF(AND(OR($F399="In Progress",$F399="Pending Client Data",$F399="Under Review"),$A399&lt;&gt;""),SUMPRODUCT((($F$2:$F$600="In Progress")+($F$2:$F$600="Pending Client Data")+($F$2:$F$600="Under Review"))*($A$2:$A$600&lt;&gt;"")*((IF($G$2:$G$600="",99999999,$G$2:$G$600))&lt;IF($G399="",99999999,$G399)))+SUMPRODUCT((($F$2:$F399="In Progress")+($F$2:$F399="Pending Client Data")+($F$2:$F399="Under Review"))*($A$2:$A399&lt;&gt;"")*((IF($G$2:$G399="",99999999,$G$2:$G399))=IF($G399="",99999999,$G399))),"")</f>
        <v/>
      </c>
    </row>
    <row r="400" customFormat="false" ht="15" hidden="false" customHeight="false" outlineLevel="0" collapsed="false">
      <c r="A400" s="9"/>
      <c r="B400" s="9"/>
      <c r="C400" s="10" t="str">
        <f aca="false">IF($B400="","",IFERROR(INDEX('Client Master'!$C:$C,MATCH($B400,'Client Master'!$B:$B,0)),"Code not found"))</f>
        <v/>
      </c>
      <c r="D400" s="9"/>
      <c r="E400" s="9"/>
      <c r="F400" s="9"/>
      <c r="G400" s="11"/>
      <c r="H400" s="11"/>
      <c r="I400" s="9"/>
      <c r="J400" s="12"/>
      <c r="K400" s="11"/>
      <c r="L400" s="9"/>
      <c r="N400" s="0" t="str">
        <f aca="false">IF(AND($J400&gt;0,$K400="",$A400&lt;&gt;""),SUMPRODUCT(($J$2:$J$600&gt;0)*($K$2:$K$600="")*($A$2:$A$600&lt;&gt;"")*((IF($G$2:$G$600="",99999999,$G$2:$G$600))&lt;IF($G400="",99999999,$G400)))+SUMPRODUCT(($J$2:$J400&gt;0)*($K$2:$K400="")*($A$2:$A400&lt;&gt;"")*((IF($G$2:$G400="",99999999,$G$2:$G400))=IF($G400="",99999999,$G400))),"")</f>
        <v/>
      </c>
      <c r="O400" s="0" t="str">
        <f aca="false">IF(AND($F400="Not Started",$A400&lt;&gt;""),SUMPRODUCT(($F$2:$F$600="Not Started")*($A$2:$A$600&lt;&gt;"")*((IF($G$2:$G$600="",99999999,$G$2:$G$600))&lt;IF($G400="",99999999,$G400)))+SUMPRODUCT(($F$2:$F400="Not Started")*($A$2:$A400&lt;&gt;"")*((IF($G$2:$G400="",99999999,$G$2:$G400))=IF($G400="",99999999,$G400))),"")</f>
        <v/>
      </c>
      <c r="P400" s="0" t="str">
        <f aca="false">IF(AND(OR($F400="In Progress",$F400="Pending Client Data",$F400="Under Review"),$A400&lt;&gt;""),SUMPRODUCT((($F$2:$F$600="In Progress")+($F$2:$F$600="Pending Client Data")+($F$2:$F$600="Under Review"))*($A$2:$A$600&lt;&gt;"")*((IF($G$2:$G$600="",99999999,$G$2:$G$600))&lt;IF($G400="",99999999,$G400)))+SUMPRODUCT((($F$2:$F400="In Progress")+($F$2:$F400="Pending Client Data")+($F$2:$F400="Under Review"))*($A$2:$A400&lt;&gt;"")*((IF($G$2:$G400="",99999999,$G$2:$G400))=IF($G400="",99999999,$G400))),"")</f>
        <v/>
      </c>
    </row>
    <row r="401" customFormat="false" ht="15" hidden="false" customHeight="false" outlineLevel="0" collapsed="false">
      <c r="A401" s="9"/>
      <c r="B401" s="9"/>
      <c r="C401" s="10" t="str">
        <f aca="false">IF($B401="","",IFERROR(INDEX('Client Master'!$C:$C,MATCH($B401,'Client Master'!$B:$B,0)),"Code not found"))</f>
        <v/>
      </c>
      <c r="D401" s="9"/>
      <c r="E401" s="9"/>
      <c r="F401" s="9"/>
      <c r="G401" s="11"/>
      <c r="H401" s="11"/>
      <c r="I401" s="9"/>
      <c r="J401" s="12"/>
      <c r="K401" s="11"/>
      <c r="L401" s="9"/>
      <c r="N401" s="0" t="str">
        <f aca="false">IF(AND($J401&gt;0,$K401="",$A401&lt;&gt;""),SUMPRODUCT(($J$2:$J$600&gt;0)*($K$2:$K$600="")*($A$2:$A$600&lt;&gt;"")*((IF($G$2:$G$600="",99999999,$G$2:$G$600))&lt;IF($G401="",99999999,$G401)))+SUMPRODUCT(($J$2:$J401&gt;0)*($K$2:$K401="")*($A$2:$A401&lt;&gt;"")*((IF($G$2:$G401="",99999999,$G$2:$G401))=IF($G401="",99999999,$G401))),"")</f>
        <v/>
      </c>
      <c r="O401" s="0" t="str">
        <f aca="false">IF(AND($F401="Not Started",$A401&lt;&gt;""),SUMPRODUCT(($F$2:$F$600="Not Started")*($A$2:$A$600&lt;&gt;"")*((IF($G$2:$G$600="",99999999,$G$2:$G$600))&lt;IF($G401="",99999999,$G401)))+SUMPRODUCT(($F$2:$F401="Not Started")*($A$2:$A401&lt;&gt;"")*((IF($G$2:$G401="",99999999,$G$2:$G401))=IF($G401="",99999999,$G401))),"")</f>
        <v/>
      </c>
      <c r="P401" s="0" t="str">
        <f aca="false">IF(AND(OR($F401="In Progress",$F401="Pending Client Data",$F401="Under Review"),$A401&lt;&gt;""),SUMPRODUCT((($F$2:$F$600="In Progress")+($F$2:$F$600="Pending Client Data")+($F$2:$F$600="Under Review"))*($A$2:$A$600&lt;&gt;"")*((IF($G$2:$G$600="",99999999,$G$2:$G$600))&lt;IF($G401="",99999999,$G401)))+SUMPRODUCT((($F$2:$F401="In Progress")+($F$2:$F401="Pending Client Data")+($F$2:$F401="Under Review"))*($A$2:$A401&lt;&gt;"")*((IF($G$2:$G401="",99999999,$G$2:$G401))=IF($G401="",99999999,$G401))),"")</f>
        <v/>
      </c>
    </row>
    <row r="402" customFormat="false" ht="15" hidden="false" customHeight="false" outlineLevel="0" collapsed="false">
      <c r="A402" s="9"/>
      <c r="B402" s="9"/>
      <c r="C402" s="10" t="str">
        <f aca="false">IF($B402="","",IFERROR(INDEX('Client Master'!$C:$C,MATCH($B402,'Client Master'!$B:$B,0)),"Code not found"))</f>
        <v/>
      </c>
      <c r="D402" s="9"/>
      <c r="E402" s="9"/>
      <c r="F402" s="9"/>
      <c r="G402" s="11"/>
      <c r="H402" s="11"/>
      <c r="I402" s="9"/>
      <c r="J402" s="12"/>
      <c r="K402" s="11"/>
      <c r="L402" s="9"/>
      <c r="N402" s="0" t="str">
        <f aca="false">IF(AND($J402&gt;0,$K402="",$A402&lt;&gt;""),SUMPRODUCT(($J$2:$J$600&gt;0)*($K$2:$K$600="")*($A$2:$A$600&lt;&gt;"")*((IF($G$2:$G$600="",99999999,$G$2:$G$600))&lt;IF($G402="",99999999,$G402)))+SUMPRODUCT(($J$2:$J402&gt;0)*($K$2:$K402="")*($A$2:$A402&lt;&gt;"")*((IF($G$2:$G402="",99999999,$G$2:$G402))=IF($G402="",99999999,$G402))),"")</f>
        <v/>
      </c>
      <c r="O402" s="0" t="str">
        <f aca="false">IF(AND($F402="Not Started",$A402&lt;&gt;""),SUMPRODUCT(($F$2:$F$600="Not Started")*($A$2:$A$600&lt;&gt;"")*((IF($G$2:$G$600="",99999999,$G$2:$G$600))&lt;IF($G402="",99999999,$G402)))+SUMPRODUCT(($F$2:$F402="Not Started")*($A$2:$A402&lt;&gt;"")*((IF($G$2:$G402="",99999999,$G$2:$G402))=IF($G402="",99999999,$G402))),"")</f>
        <v/>
      </c>
      <c r="P402" s="0" t="str">
        <f aca="false">IF(AND(OR($F402="In Progress",$F402="Pending Client Data",$F402="Under Review"),$A402&lt;&gt;""),SUMPRODUCT((($F$2:$F$600="In Progress")+($F$2:$F$600="Pending Client Data")+($F$2:$F$600="Under Review"))*($A$2:$A$600&lt;&gt;"")*((IF($G$2:$G$600="",99999999,$G$2:$G$600))&lt;IF($G402="",99999999,$G402)))+SUMPRODUCT((($F$2:$F402="In Progress")+($F$2:$F402="Pending Client Data")+($F$2:$F402="Under Review"))*($A$2:$A402&lt;&gt;"")*((IF($G$2:$G402="",99999999,$G$2:$G402))=IF($G402="",99999999,$G402))),"")</f>
        <v/>
      </c>
    </row>
    <row r="403" customFormat="false" ht="15" hidden="false" customHeight="false" outlineLevel="0" collapsed="false">
      <c r="A403" s="9"/>
      <c r="B403" s="9"/>
      <c r="C403" s="10" t="str">
        <f aca="false">IF($B403="","",IFERROR(INDEX('Client Master'!$C:$C,MATCH($B403,'Client Master'!$B:$B,0)),"Code not found"))</f>
        <v/>
      </c>
      <c r="D403" s="9"/>
      <c r="E403" s="9"/>
      <c r="F403" s="9"/>
      <c r="G403" s="11"/>
      <c r="H403" s="11"/>
      <c r="I403" s="9"/>
      <c r="J403" s="12"/>
      <c r="K403" s="11"/>
      <c r="L403" s="9"/>
      <c r="N403" s="0" t="str">
        <f aca="false">IF(AND($J403&gt;0,$K403="",$A403&lt;&gt;""),SUMPRODUCT(($J$2:$J$600&gt;0)*($K$2:$K$600="")*($A$2:$A$600&lt;&gt;"")*((IF($G$2:$G$600="",99999999,$G$2:$G$600))&lt;IF($G403="",99999999,$G403)))+SUMPRODUCT(($J$2:$J403&gt;0)*($K$2:$K403="")*($A$2:$A403&lt;&gt;"")*((IF($G$2:$G403="",99999999,$G$2:$G403))=IF($G403="",99999999,$G403))),"")</f>
        <v/>
      </c>
      <c r="O403" s="0" t="str">
        <f aca="false">IF(AND($F403="Not Started",$A403&lt;&gt;""),SUMPRODUCT(($F$2:$F$600="Not Started")*($A$2:$A$600&lt;&gt;"")*((IF($G$2:$G$600="",99999999,$G$2:$G$600))&lt;IF($G403="",99999999,$G403)))+SUMPRODUCT(($F$2:$F403="Not Started")*($A$2:$A403&lt;&gt;"")*((IF($G$2:$G403="",99999999,$G$2:$G403))=IF($G403="",99999999,$G403))),"")</f>
        <v/>
      </c>
      <c r="P403" s="0" t="str">
        <f aca="false">IF(AND(OR($F403="In Progress",$F403="Pending Client Data",$F403="Under Review"),$A403&lt;&gt;""),SUMPRODUCT((($F$2:$F$600="In Progress")+($F$2:$F$600="Pending Client Data")+($F$2:$F$600="Under Review"))*($A$2:$A$600&lt;&gt;"")*((IF($G$2:$G$600="",99999999,$G$2:$G$600))&lt;IF($G403="",99999999,$G403)))+SUMPRODUCT((($F$2:$F403="In Progress")+($F$2:$F403="Pending Client Data")+($F$2:$F403="Under Review"))*($A$2:$A403&lt;&gt;"")*((IF($G$2:$G403="",99999999,$G$2:$G403))=IF($G403="",99999999,$G403))),"")</f>
        <v/>
      </c>
    </row>
    <row r="404" customFormat="false" ht="15" hidden="false" customHeight="false" outlineLevel="0" collapsed="false">
      <c r="A404" s="9"/>
      <c r="B404" s="9"/>
      <c r="C404" s="10" t="str">
        <f aca="false">IF($B404="","",IFERROR(INDEX('Client Master'!$C:$C,MATCH($B404,'Client Master'!$B:$B,0)),"Code not found"))</f>
        <v/>
      </c>
      <c r="D404" s="9"/>
      <c r="E404" s="9"/>
      <c r="F404" s="9"/>
      <c r="G404" s="11"/>
      <c r="H404" s="11"/>
      <c r="I404" s="9"/>
      <c r="J404" s="12"/>
      <c r="K404" s="11"/>
      <c r="L404" s="9"/>
      <c r="N404" s="0" t="str">
        <f aca="false">IF(AND($J404&gt;0,$K404="",$A404&lt;&gt;""),SUMPRODUCT(($J$2:$J$600&gt;0)*($K$2:$K$600="")*($A$2:$A$600&lt;&gt;"")*((IF($G$2:$G$600="",99999999,$G$2:$G$600))&lt;IF($G404="",99999999,$G404)))+SUMPRODUCT(($J$2:$J404&gt;0)*($K$2:$K404="")*($A$2:$A404&lt;&gt;"")*((IF($G$2:$G404="",99999999,$G$2:$G404))=IF($G404="",99999999,$G404))),"")</f>
        <v/>
      </c>
      <c r="O404" s="0" t="str">
        <f aca="false">IF(AND($F404="Not Started",$A404&lt;&gt;""),SUMPRODUCT(($F$2:$F$600="Not Started")*($A$2:$A$600&lt;&gt;"")*((IF($G$2:$G$600="",99999999,$G$2:$G$600))&lt;IF($G404="",99999999,$G404)))+SUMPRODUCT(($F$2:$F404="Not Started")*($A$2:$A404&lt;&gt;"")*((IF($G$2:$G404="",99999999,$G$2:$G404))=IF($G404="",99999999,$G404))),"")</f>
        <v/>
      </c>
      <c r="P404" s="0" t="str">
        <f aca="false">IF(AND(OR($F404="In Progress",$F404="Pending Client Data",$F404="Under Review"),$A404&lt;&gt;""),SUMPRODUCT((($F$2:$F$600="In Progress")+($F$2:$F$600="Pending Client Data")+($F$2:$F$600="Under Review"))*($A$2:$A$600&lt;&gt;"")*((IF($G$2:$G$600="",99999999,$G$2:$G$600))&lt;IF($G404="",99999999,$G404)))+SUMPRODUCT((($F$2:$F404="In Progress")+($F$2:$F404="Pending Client Data")+($F$2:$F404="Under Review"))*($A$2:$A404&lt;&gt;"")*((IF($G$2:$G404="",99999999,$G$2:$G404))=IF($G404="",99999999,$G404))),"")</f>
        <v/>
      </c>
    </row>
    <row r="405" customFormat="false" ht="15" hidden="false" customHeight="false" outlineLevel="0" collapsed="false">
      <c r="A405" s="9"/>
      <c r="B405" s="9"/>
      <c r="C405" s="10" t="str">
        <f aca="false">IF($B405="","",IFERROR(INDEX('Client Master'!$C:$C,MATCH($B405,'Client Master'!$B:$B,0)),"Code not found"))</f>
        <v/>
      </c>
      <c r="D405" s="9"/>
      <c r="E405" s="9"/>
      <c r="F405" s="9"/>
      <c r="G405" s="11"/>
      <c r="H405" s="11"/>
      <c r="I405" s="9"/>
      <c r="J405" s="12"/>
      <c r="K405" s="11"/>
      <c r="L405" s="9"/>
      <c r="N405" s="0" t="str">
        <f aca="false">IF(AND($J405&gt;0,$K405="",$A405&lt;&gt;""),SUMPRODUCT(($J$2:$J$600&gt;0)*($K$2:$K$600="")*($A$2:$A$600&lt;&gt;"")*((IF($G$2:$G$600="",99999999,$G$2:$G$600))&lt;IF($G405="",99999999,$G405)))+SUMPRODUCT(($J$2:$J405&gt;0)*($K$2:$K405="")*($A$2:$A405&lt;&gt;"")*((IF($G$2:$G405="",99999999,$G$2:$G405))=IF($G405="",99999999,$G405))),"")</f>
        <v/>
      </c>
      <c r="O405" s="0" t="str">
        <f aca="false">IF(AND($F405="Not Started",$A405&lt;&gt;""),SUMPRODUCT(($F$2:$F$600="Not Started")*($A$2:$A$600&lt;&gt;"")*((IF($G$2:$G$600="",99999999,$G$2:$G$600))&lt;IF($G405="",99999999,$G405)))+SUMPRODUCT(($F$2:$F405="Not Started")*($A$2:$A405&lt;&gt;"")*((IF($G$2:$G405="",99999999,$G$2:$G405))=IF($G405="",99999999,$G405))),"")</f>
        <v/>
      </c>
      <c r="P405" s="0" t="str">
        <f aca="false">IF(AND(OR($F405="In Progress",$F405="Pending Client Data",$F405="Under Review"),$A405&lt;&gt;""),SUMPRODUCT((($F$2:$F$600="In Progress")+($F$2:$F$600="Pending Client Data")+($F$2:$F$600="Under Review"))*($A$2:$A$600&lt;&gt;"")*((IF($G$2:$G$600="",99999999,$G$2:$G$600))&lt;IF($G405="",99999999,$G405)))+SUMPRODUCT((($F$2:$F405="In Progress")+($F$2:$F405="Pending Client Data")+($F$2:$F405="Under Review"))*($A$2:$A405&lt;&gt;"")*((IF($G$2:$G405="",99999999,$G$2:$G405))=IF($G405="",99999999,$G405))),"")</f>
        <v/>
      </c>
    </row>
    <row r="406" customFormat="false" ht="15" hidden="false" customHeight="false" outlineLevel="0" collapsed="false">
      <c r="A406" s="9"/>
      <c r="B406" s="9"/>
      <c r="C406" s="10" t="str">
        <f aca="false">IF($B406="","",IFERROR(INDEX('Client Master'!$C:$C,MATCH($B406,'Client Master'!$B:$B,0)),"Code not found"))</f>
        <v/>
      </c>
      <c r="D406" s="9"/>
      <c r="E406" s="9"/>
      <c r="F406" s="9"/>
      <c r="G406" s="11"/>
      <c r="H406" s="11"/>
      <c r="I406" s="9"/>
      <c r="J406" s="12"/>
      <c r="K406" s="11"/>
      <c r="L406" s="9"/>
      <c r="N406" s="0" t="str">
        <f aca="false">IF(AND($J406&gt;0,$K406="",$A406&lt;&gt;""),SUMPRODUCT(($J$2:$J$600&gt;0)*($K$2:$K$600="")*($A$2:$A$600&lt;&gt;"")*((IF($G$2:$G$600="",99999999,$G$2:$G$600))&lt;IF($G406="",99999999,$G406)))+SUMPRODUCT(($J$2:$J406&gt;0)*($K$2:$K406="")*($A$2:$A406&lt;&gt;"")*((IF($G$2:$G406="",99999999,$G$2:$G406))=IF($G406="",99999999,$G406))),"")</f>
        <v/>
      </c>
      <c r="O406" s="0" t="str">
        <f aca="false">IF(AND($F406="Not Started",$A406&lt;&gt;""),SUMPRODUCT(($F$2:$F$600="Not Started")*($A$2:$A$600&lt;&gt;"")*((IF($G$2:$G$600="",99999999,$G$2:$G$600))&lt;IF($G406="",99999999,$G406)))+SUMPRODUCT(($F$2:$F406="Not Started")*($A$2:$A406&lt;&gt;"")*((IF($G$2:$G406="",99999999,$G$2:$G406))=IF($G406="",99999999,$G406))),"")</f>
        <v/>
      </c>
      <c r="P406" s="0" t="str">
        <f aca="false">IF(AND(OR($F406="In Progress",$F406="Pending Client Data",$F406="Under Review"),$A406&lt;&gt;""),SUMPRODUCT((($F$2:$F$600="In Progress")+($F$2:$F$600="Pending Client Data")+($F$2:$F$600="Under Review"))*($A$2:$A$600&lt;&gt;"")*((IF($G$2:$G$600="",99999999,$G$2:$G$600))&lt;IF($G406="",99999999,$G406)))+SUMPRODUCT((($F$2:$F406="In Progress")+($F$2:$F406="Pending Client Data")+($F$2:$F406="Under Review"))*($A$2:$A406&lt;&gt;"")*((IF($G$2:$G406="",99999999,$G$2:$G406))=IF($G406="",99999999,$G406))),"")</f>
        <v/>
      </c>
    </row>
    <row r="407" customFormat="false" ht="15" hidden="false" customHeight="false" outlineLevel="0" collapsed="false">
      <c r="A407" s="9"/>
      <c r="B407" s="9"/>
      <c r="C407" s="10" t="str">
        <f aca="false">IF($B407="","",IFERROR(INDEX('Client Master'!$C:$C,MATCH($B407,'Client Master'!$B:$B,0)),"Code not found"))</f>
        <v/>
      </c>
      <c r="D407" s="9"/>
      <c r="E407" s="9"/>
      <c r="F407" s="9"/>
      <c r="G407" s="11"/>
      <c r="H407" s="11"/>
      <c r="I407" s="9"/>
      <c r="J407" s="12"/>
      <c r="K407" s="11"/>
      <c r="L407" s="9"/>
      <c r="N407" s="0" t="str">
        <f aca="false">IF(AND($J407&gt;0,$K407="",$A407&lt;&gt;""),SUMPRODUCT(($J$2:$J$600&gt;0)*($K$2:$K$600="")*($A$2:$A$600&lt;&gt;"")*((IF($G$2:$G$600="",99999999,$G$2:$G$600))&lt;IF($G407="",99999999,$G407)))+SUMPRODUCT(($J$2:$J407&gt;0)*($K$2:$K407="")*($A$2:$A407&lt;&gt;"")*((IF($G$2:$G407="",99999999,$G$2:$G407))=IF($G407="",99999999,$G407))),"")</f>
        <v/>
      </c>
      <c r="O407" s="0" t="str">
        <f aca="false">IF(AND($F407="Not Started",$A407&lt;&gt;""),SUMPRODUCT(($F$2:$F$600="Not Started")*($A$2:$A$600&lt;&gt;"")*((IF($G$2:$G$600="",99999999,$G$2:$G$600))&lt;IF($G407="",99999999,$G407)))+SUMPRODUCT(($F$2:$F407="Not Started")*($A$2:$A407&lt;&gt;"")*((IF($G$2:$G407="",99999999,$G$2:$G407))=IF($G407="",99999999,$G407))),"")</f>
        <v/>
      </c>
      <c r="P407" s="0" t="str">
        <f aca="false">IF(AND(OR($F407="In Progress",$F407="Pending Client Data",$F407="Under Review"),$A407&lt;&gt;""),SUMPRODUCT((($F$2:$F$600="In Progress")+($F$2:$F$600="Pending Client Data")+($F$2:$F$600="Under Review"))*($A$2:$A$600&lt;&gt;"")*((IF($G$2:$G$600="",99999999,$G$2:$G$600))&lt;IF($G407="",99999999,$G407)))+SUMPRODUCT((($F$2:$F407="In Progress")+($F$2:$F407="Pending Client Data")+($F$2:$F407="Under Review"))*($A$2:$A407&lt;&gt;"")*((IF($G$2:$G407="",99999999,$G$2:$G407))=IF($G407="",99999999,$G407))),"")</f>
        <v/>
      </c>
    </row>
    <row r="408" customFormat="false" ht="15" hidden="false" customHeight="false" outlineLevel="0" collapsed="false">
      <c r="A408" s="9"/>
      <c r="B408" s="9"/>
      <c r="C408" s="10" t="str">
        <f aca="false">IF($B408="","",IFERROR(INDEX('Client Master'!$C:$C,MATCH($B408,'Client Master'!$B:$B,0)),"Code not found"))</f>
        <v/>
      </c>
      <c r="D408" s="9"/>
      <c r="E408" s="9"/>
      <c r="F408" s="9"/>
      <c r="G408" s="11"/>
      <c r="H408" s="11"/>
      <c r="I408" s="9"/>
      <c r="J408" s="12"/>
      <c r="K408" s="11"/>
      <c r="L408" s="9"/>
      <c r="N408" s="0" t="str">
        <f aca="false">IF(AND($J408&gt;0,$K408="",$A408&lt;&gt;""),SUMPRODUCT(($J$2:$J$600&gt;0)*($K$2:$K$600="")*($A$2:$A$600&lt;&gt;"")*((IF($G$2:$G$600="",99999999,$G$2:$G$600))&lt;IF($G408="",99999999,$G408)))+SUMPRODUCT(($J$2:$J408&gt;0)*($K$2:$K408="")*($A$2:$A408&lt;&gt;"")*((IF($G$2:$G408="",99999999,$G$2:$G408))=IF($G408="",99999999,$G408))),"")</f>
        <v/>
      </c>
      <c r="O408" s="0" t="str">
        <f aca="false">IF(AND($F408="Not Started",$A408&lt;&gt;""),SUMPRODUCT(($F$2:$F$600="Not Started")*($A$2:$A$600&lt;&gt;"")*((IF($G$2:$G$600="",99999999,$G$2:$G$600))&lt;IF($G408="",99999999,$G408)))+SUMPRODUCT(($F$2:$F408="Not Started")*($A$2:$A408&lt;&gt;"")*((IF($G$2:$G408="",99999999,$G$2:$G408))=IF($G408="",99999999,$G408))),"")</f>
        <v/>
      </c>
      <c r="P408" s="0" t="str">
        <f aca="false">IF(AND(OR($F408="In Progress",$F408="Pending Client Data",$F408="Under Review"),$A408&lt;&gt;""),SUMPRODUCT((($F$2:$F$600="In Progress")+($F$2:$F$600="Pending Client Data")+($F$2:$F$600="Under Review"))*($A$2:$A$600&lt;&gt;"")*((IF($G$2:$G$600="",99999999,$G$2:$G$600))&lt;IF($G408="",99999999,$G408)))+SUMPRODUCT((($F$2:$F408="In Progress")+($F$2:$F408="Pending Client Data")+($F$2:$F408="Under Review"))*($A$2:$A408&lt;&gt;"")*((IF($G$2:$G408="",99999999,$G$2:$G408))=IF($G408="",99999999,$G408))),"")</f>
        <v/>
      </c>
    </row>
    <row r="409" customFormat="false" ht="15" hidden="false" customHeight="false" outlineLevel="0" collapsed="false">
      <c r="A409" s="9"/>
      <c r="B409" s="9"/>
      <c r="C409" s="10" t="str">
        <f aca="false">IF($B409="","",IFERROR(INDEX('Client Master'!$C:$C,MATCH($B409,'Client Master'!$B:$B,0)),"Code not found"))</f>
        <v/>
      </c>
      <c r="D409" s="9"/>
      <c r="E409" s="9"/>
      <c r="F409" s="9"/>
      <c r="G409" s="11"/>
      <c r="H409" s="11"/>
      <c r="I409" s="9"/>
      <c r="J409" s="12"/>
      <c r="K409" s="11"/>
      <c r="L409" s="9"/>
      <c r="N409" s="0" t="str">
        <f aca="false">IF(AND($J409&gt;0,$K409="",$A409&lt;&gt;""),SUMPRODUCT(($J$2:$J$600&gt;0)*($K$2:$K$600="")*($A$2:$A$600&lt;&gt;"")*((IF($G$2:$G$600="",99999999,$G$2:$G$600))&lt;IF($G409="",99999999,$G409)))+SUMPRODUCT(($J$2:$J409&gt;0)*($K$2:$K409="")*($A$2:$A409&lt;&gt;"")*((IF($G$2:$G409="",99999999,$G$2:$G409))=IF($G409="",99999999,$G409))),"")</f>
        <v/>
      </c>
      <c r="O409" s="0" t="str">
        <f aca="false">IF(AND($F409="Not Started",$A409&lt;&gt;""),SUMPRODUCT(($F$2:$F$600="Not Started")*($A$2:$A$600&lt;&gt;"")*((IF($G$2:$G$600="",99999999,$G$2:$G$600))&lt;IF($G409="",99999999,$G409)))+SUMPRODUCT(($F$2:$F409="Not Started")*($A$2:$A409&lt;&gt;"")*((IF($G$2:$G409="",99999999,$G$2:$G409))=IF($G409="",99999999,$G409))),"")</f>
        <v/>
      </c>
      <c r="P409" s="0" t="str">
        <f aca="false">IF(AND(OR($F409="In Progress",$F409="Pending Client Data",$F409="Under Review"),$A409&lt;&gt;""),SUMPRODUCT((($F$2:$F$600="In Progress")+($F$2:$F$600="Pending Client Data")+($F$2:$F$600="Under Review"))*($A$2:$A$600&lt;&gt;"")*((IF($G$2:$G$600="",99999999,$G$2:$G$600))&lt;IF($G409="",99999999,$G409)))+SUMPRODUCT((($F$2:$F409="In Progress")+($F$2:$F409="Pending Client Data")+($F$2:$F409="Under Review"))*($A$2:$A409&lt;&gt;"")*((IF($G$2:$G409="",99999999,$G$2:$G409))=IF($G409="",99999999,$G409))),"")</f>
        <v/>
      </c>
    </row>
    <row r="410" customFormat="false" ht="15" hidden="false" customHeight="false" outlineLevel="0" collapsed="false">
      <c r="A410" s="9"/>
      <c r="B410" s="9"/>
      <c r="C410" s="10" t="str">
        <f aca="false">IF($B410="","",IFERROR(INDEX('Client Master'!$C:$C,MATCH($B410,'Client Master'!$B:$B,0)),"Code not found"))</f>
        <v/>
      </c>
      <c r="D410" s="9"/>
      <c r="E410" s="9"/>
      <c r="F410" s="9"/>
      <c r="G410" s="11"/>
      <c r="H410" s="11"/>
      <c r="I410" s="9"/>
      <c r="J410" s="12"/>
      <c r="K410" s="11"/>
      <c r="L410" s="9"/>
      <c r="N410" s="0" t="str">
        <f aca="false">IF(AND($J410&gt;0,$K410="",$A410&lt;&gt;""),SUMPRODUCT(($J$2:$J$600&gt;0)*($K$2:$K$600="")*($A$2:$A$600&lt;&gt;"")*((IF($G$2:$G$600="",99999999,$G$2:$G$600))&lt;IF($G410="",99999999,$G410)))+SUMPRODUCT(($J$2:$J410&gt;0)*($K$2:$K410="")*($A$2:$A410&lt;&gt;"")*((IF($G$2:$G410="",99999999,$G$2:$G410))=IF($G410="",99999999,$G410))),"")</f>
        <v/>
      </c>
      <c r="O410" s="0" t="str">
        <f aca="false">IF(AND($F410="Not Started",$A410&lt;&gt;""),SUMPRODUCT(($F$2:$F$600="Not Started")*($A$2:$A$600&lt;&gt;"")*((IF($G$2:$G$600="",99999999,$G$2:$G$600))&lt;IF($G410="",99999999,$G410)))+SUMPRODUCT(($F$2:$F410="Not Started")*($A$2:$A410&lt;&gt;"")*((IF($G$2:$G410="",99999999,$G$2:$G410))=IF($G410="",99999999,$G410))),"")</f>
        <v/>
      </c>
      <c r="P410" s="0" t="str">
        <f aca="false">IF(AND(OR($F410="In Progress",$F410="Pending Client Data",$F410="Under Review"),$A410&lt;&gt;""),SUMPRODUCT((($F$2:$F$600="In Progress")+($F$2:$F$600="Pending Client Data")+($F$2:$F$600="Under Review"))*($A$2:$A$600&lt;&gt;"")*((IF($G$2:$G$600="",99999999,$G$2:$G$600))&lt;IF($G410="",99999999,$G410)))+SUMPRODUCT((($F$2:$F410="In Progress")+($F$2:$F410="Pending Client Data")+($F$2:$F410="Under Review"))*($A$2:$A410&lt;&gt;"")*((IF($G$2:$G410="",99999999,$G$2:$G410))=IF($G410="",99999999,$G410))),"")</f>
        <v/>
      </c>
    </row>
    <row r="411" customFormat="false" ht="15" hidden="false" customHeight="false" outlineLevel="0" collapsed="false">
      <c r="A411" s="9"/>
      <c r="B411" s="9"/>
      <c r="C411" s="10" t="str">
        <f aca="false">IF($B411="","",IFERROR(INDEX('Client Master'!$C:$C,MATCH($B411,'Client Master'!$B:$B,0)),"Code not found"))</f>
        <v/>
      </c>
      <c r="D411" s="9"/>
      <c r="E411" s="9"/>
      <c r="F411" s="9"/>
      <c r="G411" s="11"/>
      <c r="H411" s="11"/>
      <c r="I411" s="9"/>
      <c r="J411" s="12"/>
      <c r="K411" s="11"/>
      <c r="L411" s="9"/>
      <c r="N411" s="0" t="str">
        <f aca="false">IF(AND($J411&gt;0,$K411="",$A411&lt;&gt;""),SUMPRODUCT(($J$2:$J$600&gt;0)*($K$2:$K$600="")*($A$2:$A$600&lt;&gt;"")*((IF($G$2:$G$600="",99999999,$G$2:$G$600))&lt;IF($G411="",99999999,$G411)))+SUMPRODUCT(($J$2:$J411&gt;0)*($K$2:$K411="")*($A$2:$A411&lt;&gt;"")*((IF($G$2:$G411="",99999999,$G$2:$G411))=IF($G411="",99999999,$G411))),"")</f>
        <v/>
      </c>
      <c r="O411" s="0" t="str">
        <f aca="false">IF(AND($F411="Not Started",$A411&lt;&gt;""),SUMPRODUCT(($F$2:$F$600="Not Started")*($A$2:$A$600&lt;&gt;"")*((IF($G$2:$G$600="",99999999,$G$2:$G$600))&lt;IF($G411="",99999999,$G411)))+SUMPRODUCT(($F$2:$F411="Not Started")*($A$2:$A411&lt;&gt;"")*((IF($G$2:$G411="",99999999,$G$2:$G411))=IF($G411="",99999999,$G411))),"")</f>
        <v/>
      </c>
      <c r="P411" s="0" t="str">
        <f aca="false">IF(AND(OR($F411="In Progress",$F411="Pending Client Data",$F411="Under Review"),$A411&lt;&gt;""),SUMPRODUCT((($F$2:$F$600="In Progress")+($F$2:$F$600="Pending Client Data")+($F$2:$F$600="Under Review"))*($A$2:$A$600&lt;&gt;"")*((IF($G$2:$G$600="",99999999,$G$2:$G$600))&lt;IF($G411="",99999999,$G411)))+SUMPRODUCT((($F$2:$F411="In Progress")+($F$2:$F411="Pending Client Data")+($F$2:$F411="Under Review"))*($A$2:$A411&lt;&gt;"")*((IF($G$2:$G411="",99999999,$G$2:$G411))=IF($G411="",99999999,$G411))),"")</f>
        <v/>
      </c>
    </row>
    <row r="412" customFormat="false" ht="15" hidden="false" customHeight="false" outlineLevel="0" collapsed="false">
      <c r="A412" s="9"/>
      <c r="B412" s="9"/>
      <c r="C412" s="10" t="str">
        <f aca="false">IF($B412="","",IFERROR(INDEX('Client Master'!$C:$C,MATCH($B412,'Client Master'!$B:$B,0)),"Code not found"))</f>
        <v/>
      </c>
      <c r="D412" s="9"/>
      <c r="E412" s="9"/>
      <c r="F412" s="9"/>
      <c r="G412" s="11"/>
      <c r="H412" s="11"/>
      <c r="I412" s="9"/>
      <c r="J412" s="12"/>
      <c r="K412" s="11"/>
      <c r="L412" s="9"/>
      <c r="N412" s="0" t="str">
        <f aca="false">IF(AND($J412&gt;0,$K412="",$A412&lt;&gt;""),SUMPRODUCT(($J$2:$J$600&gt;0)*($K$2:$K$600="")*($A$2:$A$600&lt;&gt;"")*((IF($G$2:$G$600="",99999999,$G$2:$G$600))&lt;IF($G412="",99999999,$G412)))+SUMPRODUCT(($J$2:$J412&gt;0)*($K$2:$K412="")*($A$2:$A412&lt;&gt;"")*((IF($G$2:$G412="",99999999,$G$2:$G412))=IF($G412="",99999999,$G412))),"")</f>
        <v/>
      </c>
      <c r="O412" s="0" t="str">
        <f aca="false">IF(AND($F412="Not Started",$A412&lt;&gt;""),SUMPRODUCT(($F$2:$F$600="Not Started")*($A$2:$A$600&lt;&gt;"")*((IF($G$2:$G$600="",99999999,$G$2:$G$600))&lt;IF($G412="",99999999,$G412)))+SUMPRODUCT(($F$2:$F412="Not Started")*($A$2:$A412&lt;&gt;"")*((IF($G$2:$G412="",99999999,$G$2:$G412))=IF($G412="",99999999,$G412))),"")</f>
        <v/>
      </c>
      <c r="P412" s="0" t="str">
        <f aca="false">IF(AND(OR($F412="In Progress",$F412="Pending Client Data",$F412="Under Review"),$A412&lt;&gt;""),SUMPRODUCT((($F$2:$F$600="In Progress")+($F$2:$F$600="Pending Client Data")+($F$2:$F$600="Under Review"))*($A$2:$A$600&lt;&gt;"")*((IF($G$2:$G$600="",99999999,$G$2:$G$600))&lt;IF($G412="",99999999,$G412)))+SUMPRODUCT((($F$2:$F412="In Progress")+($F$2:$F412="Pending Client Data")+($F$2:$F412="Under Review"))*($A$2:$A412&lt;&gt;"")*((IF($G$2:$G412="",99999999,$G$2:$G412))=IF($G412="",99999999,$G412))),"")</f>
        <v/>
      </c>
    </row>
    <row r="413" customFormat="false" ht="15" hidden="false" customHeight="false" outlineLevel="0" collapsed="false">
      <c r="A413" s="9"/>
      <c r="B413" s="9"/>
      <c r="C413" s="10" t="str">
        <f aca="false">IF($B413="","",IFERROR(INDEX('Client Master'!$C:$C,MATCH($B413,'Client Master'!$B:$B,0)),"Code not found"))</f>
        <v/>
      </c>
      <c r="D413" s="9"/>
      <c r="E413" s="9"/>
      <c r="F413" s="9"/>
      <c r="G413" s="11"/>
      <c r="H413" s="11"/>
      <c r="I413" s="9"/>
      <c r="J413" s="12"/>
      <c r="K413" s="11"/>
      <c r="L413" s="9"/>
      <c r="N413" s="0" t="str">
        <f aca="false">IF(AND($J413&gt;0,$K413="",$A413&lt;&gt;""),SUMPRODUCT(($J$2:$J$600&gt;0)*($K$2:$K$600="")*($A$2:$A$600&lt;&gt;"")*((IF($G$2:$G$600="",99999999,$G$2:$G$600))&lt;IF($G413="",99999999,$G413)))+SUMPRODUCT(($J$2:$J413&gt;0)*($K$2:$K413="")*($A$2:$A413&lt;&gt;"")*((IF($G$2:$G413="",99999999,$G$2:$G413))=IF($G413="",99999999,$G413))),"")</f>
        <v/>
      </c>
      <c r="O413" s="0" t="str">
        <f aca="false">IF(AND($F413="Not Started",$A413&lt;&gt;""),SUMPRODUCT(($F$2:$F$600="Not Started")*($A$2:$A$600&lt;&gt;"")*((IF($G$2:$G$600="",99999999,$G$2:$G$600))&lt;IF($G413="",99999999,$G413)))+SUMPRODUCT(($F$2:$F413="Not Started")*($A$2:$A413&lt;&gt;"")*((IF($G$2:$G413="",99999999,$G$2:$G413))=IF($G413="",99999999,$G413))),"")</f>
        <v/>
      </c>
      <c r="P413" s="0" t="str">
        <f aca="false">IF(AND(OR($F413="In Progress",$F413="Pending Client Data",$F413="Under Review"),$A413&lt;&gt;""),SUMPRODUCT((($F$2:$F$600="In Progress")+($F$2:$F$600="Pending Client Data")+($F$2:$F$600="Under Review"))*($A$2:$A$600&lt;&gt;"")*((IF($G$2:$G$600="",99999999,$G$2:$G$600))&lt;IF($G413="",99999999,$G413)))+SUMPRODUCT((($F$2:$F413="In Progress")+($F$2:$F413="Pending Client Data")+($F$2:$F413="Under Review"))*($A$2:$A413&lt;&gt;"")*((IF($G$2:$G413="",99999999,$G$2:$G413))=IF($G413="",99999999,$G413))),"")</f>
        <v/>
      </c>
    </row>
    <row r="414" customFormat="false" ht="15" hidden="false" customHeight="false" outlineLevel="0" collapsed="false">
      <c r="A414" s="9"/>
      <c r="B414" s="9"/>
      <c r="C414" s="10" t="str">
        <f aca="false">IF($B414="","",IFERROR(INDEX('Client Master'!$C:$C,MATCH($B414,'Client Master'!$B:$B,0)),"Code not found"))</f>
        <v/>
      </c>
      <c r="D414" s="9"/>
      <c r="E414" s="9"/>
      <c r="F414" s="9"/>
      <c r="G414" s="11"/>
      <c r="H414" s="11"/>
      <c r="I414" s="9"/>
      <c r="J414" s="12"/>
      <c r="K414" s="11"/>
      <c r="L414" s="9"/>
      <c r="N414" s="0" t="str">
        <f aca="false">IF(AND($J414&gt;0,$K414="",$A414&lt;&gt;""),SUMPRODUCT(($J$2:$J$600&gt;0)*($K$2:$K$600="")*($A$2:$A$600&lt;&gt;"")*((IF($G$2:$G$600="",99999999,$G$2:$G$600))&lt;IF($G414="",99999999,$G414)))+SUMPRODUCT(($J$2:$J414&gt;0)*($K$2:$K414="")*($A$2:$A414&lt;&gt;"")*((IF($G$2:$G414="",99999999,$G$2:$G414))=IF($G414="",99999999,$G414))),"")</f>
        <v/>
      </c>
      <c r="O414" s="0" t="str">
        <f aca="false">IF(AND($F414="Not Started",$A414&lt;&gt;""),SUMPRODUCT(($F$2:$F$600="Not Started")*($A$2:$A$600&lt;&gt;"")*((IF($G$2:$G$600="",99999999,$G$2:$G$600))&lt;IF($G414="",99999999,$G414)))+SUMPRODUCT(($F$2:$F414="Not Started")*($A$2:$A414&lt;&gt;"")*((IF($G$2:$G414="",99999999,$G$2:$G414))=IF($G414="",99999999,$G414))),"")</f>
        <v/>
      </c>
      <c r="P414" s="0" t="str">
        <f aca="false">IF(AND(OR($F414="In Progress",$F414="Pending Client Data",$F414="Under Review"),$A414&lt;&gt;""),SUMPRODUCT((($F$2:$F$600="In Progress")+($F$2:$F$600="Pending Client Data")+($F$2:$F$600="Under Review"))*($A$2:$A$600&lt;&gt;"")*((IF($G$2:$G$600="",99999999,$G$2:$G$600))&lt;IF($G414="",99999999,$G414)))+SUMPRODUCT((($F$2:$F414="In Progress")+($F$2:$F414="Pending Client Data")+($F$2:$F414="Under Review"))*($A$2:$A414&lt;&gt;"")*((IF($G$2:$G414="",99999999,$G$2:$G414))=IF($G414="",99999999,$G414))),"")</f>
        <v/>
      </c>
    </row>
    <row r="415" customFormat="false" ht="15" hidden="false" customHeight="false" outlineLevel="0" collapsed="false">
      <c r="A415" s="9"/>
      <c r="B415" s="9"/>
      <c r="C415" s="10" t="str">
        <f aca="false">IF($B415="","",IFERROR(INDEX('Client Master'!$C:$C,MATCH($B415,'Client Master'!$B:$B,0)),"Code not found"))</f>
        <v/>
      </c>
      <c r="D415" s="9"/>
      <c r="E415" s="9"/>
      <c r="F415" s="9"/>
      <c r="G415" s="11"/>
      <c r="H415" s="11"/>
      <c r="I415" s="9"/>
      <c r="J415" s="12"/>
      <c r="K415" s="11"/>
      <c r="L415" s="9"/>
      <c r="N415" s="0" t="str">
        <f aca="false">IF(AND($J415&gt;0,$K415="",$A415&lt;&gt;""),SUMPRODUCT(($J$2:$J$600&gt;0)*($K$2:$K$600="")*($A$2:$A$600&lt;&gt;"")*((IF($G$2:$G$600="",99999999,$G$2:$G$600))&lt;IF($G415="",99999999,$G415)))+SUMPRODUCT(($J$2:$J415&gt;0)*($K$2:$K415="")*($A$2:$A415&lt;&gt;"")*((IF($G$2:$G415="",99999999,$G$2:$G415))=IF($G415="",99999999,$G415))),"")</f>
        <v/>
      </c>
      <c r="O415" s="0" t="str">
        <f aca="false">IF(AND($F415="Not Started",$A415&lt;&gt;""),SUMPRODUCT(($F$2:$F$600="Not Started")*($A$2:$A$600&lt;&gt;"")*((IF($G$2:$G$600="",99999999,$G$2:$G$600))&lt;IF($G415="",99999999,$G415)))+SUMPRODUCT(($F$2:$F415="Not Started")*($A$2:$A415&lt;&gt;"")*((IF($G$2:$G415="",99999999,$G$2:$G415))=IF($G415="",99999999,$G415))),"")</f>
        <v/>
      </c>
      <c r="P415" s="0" t="str">
        <f aca="false">IF(AND(OR($F415="In Progress",$F415="Pending Client Data",$F415="Under Review"),$A415&lt;&gt;""),SUMPRODUCT((($F$2:$F$600="In Progress")+($F$2:$F$600="Pending Client Data")+($F$2:$F$600="Under Review"))*($A$2:$A$600&lt;&gt;"")*((IF($G$2:$G$600="",99999999,$G$2:$G$600))&lt;IF($G415="",99999999,$G415)))+SUMPRODUCT((($F$2:$F415="In Progress")+($F$2:$F415="Pending Client Data")+($F$2:$F415="Under Review"))*($A$2:$A415&lt;&gt;"")*((IF($G$2:$G415="",99999999,$G$2:$G415))=IF($G415="",99999999,$G415))),"")</f>
        <v/>
      </c>
    </row>
    <row r="416" customFormat="false" ht="15" hidden="false" customHeight="false" outlineLevel="0" collapsed="false">
      <c r="A416" s="9"/>
      <c r="B416" s="9"/>
      <c r="C416" s="10" t="str">
        <f aca="false">IF($B416="","",IFERROR(INDEX('Client Master'!$C:$C,MATCH($B416,'Client Master'!$B:$B,0)),"Code not found"))</f>
        <v/>
      </c>
      <c r="D416" s="9"/>
      <c r="E416" s="9"/>
      <c r="F416" s="9"/>
      <c r="G416" s="11"/>
      <c r="H416" s="11"/>
      <c r="I416" s="9"/>
      <c r="J416" s="12"/>
      <c r="K416" s="11"/>
      <c r="L416" s="9"/>
      <c r="N416" s="0" t="str">
        <f aca="false">IF(AND($J416&gt;0,$K416="",$A416&lt;&gt;""),SUMPRODUCT(($J$2:$J$600&gt;0)*($K$2:$K$600="")*($A$2:$A$600&lt;&gt;"")*((IF($G$2:$G$600="",99999999,$G$2:$G$600))&lt;IF($G416="",99999999,$G416)))+SUMPRODUCT(($J$2:$J416&gt;0)*($K$2:$K416="")*($A$2:$A416&lt;&gt;"")*((IF($G$2:$G416="",99999999,$G$2:$G416))=IF($G416="",99999999,$G416))),"")</f>
        <v/>
      </c>
      <c r="O416" s="0" t="str">
        <f aca="false">IF(AND($F416="Not Started",$A416&lt;&gt;""),SUMPRODUCT(($F$2:$F$600="Not Started")*($A$2:$A$600&lt;&gt;"")*((IF($G$2:$G$600="",99999999,$G$2:$G$600))&lt;IF($G416="",99999999,$G416)))+SUMPRODUCT(($F$2:$F416="Not Started")*($A$2:$A416&lt;&gt;"")*((IF($G$2:$G416="",99999999,$G$2:$G416))=IF($G416="",99999999,$G416))),"")</f>
        <v/>
      </c>
      <c r="P416" s="0" t="str">
        <f aca="false">IF(AND(OR($F416="In Progress",$F416="Pending Client Data",$F416="Under Review"),$A416&lt;&gt;""),SUMPRODUCT((($F$2:$F$600="In Progress")+($F$2:$F$600="Pending Client Data")+($F$2:$F$600="Under Review"))*($A$2:$A$600&lt;&gt;"")*((IF($G$2:$G$600="",99999999,$G$2:$G$600))&lt;IF($G416="",99999999,$G416)))+SUMPRODUCT((($F$2:$F416="In Progress")+($F$2:$F416="Pending Client Data")+($F$2:$F416="Under Review"))*($A$2:$A416&lt;&gt;"")*((IF($G$2:$G416="",99999999,$G$2:$G416))=IF($G416="",99999999,$G416))),"")</f>
        <v/>
      </c>
    </row>
    <row r="417" customFormat="false" ht="15" hidden="false" customHeight="false" outlineLevel="0" collapsed="false">
      <c r="A417" s="9"/>
      <c r="B417" s="9"/>
      <c r="C417" s="10" t="str">
        <f aca="false">IF($B417="","",IFERROR(INDEX('Client Master'!$C:$C,MATCH($B417,'Client Master'!$B:$B,0)),"Code not found"))</f>
        <v/>
      </c>
      <c r="D417" s="9"/>
      <c r="E417" s="9"/>
      <c r="F417" s="9"/>
      <c r="G417" s="11"/>
      <c r="H417" s="11"/>
      <c r="I417" s="9"/>
      <c r="J417" s="12"/>
      <c r="K417" s="11"/>
      <c r="L417" s="9"/>
      <c r="N417" s="0" t="str">
        <f aca="false">IF(AND($J417&gt;0,$K417="",$A417&lt;&gt;""),SUMPRODUCT(($J$2:$J$600&gt;0)*($K$2:$K$600="")*($A$2:$A$600&lt;&gt;"")*((IF($G$2:$G$600="",99999999,$G$2:$G$600))&lt;IF($G417="",99999999,$G417)))+SUMPRODUCT(($J$2:$J417&gt;0)*($K$2:$K417="")*($A$2:$A417&lt;&gt;"")*((IF($G$2:$G417="",99999999,$G$2:$G417))=IF($G417="",99999999,$G417))),"")</f>
        <v/>
      </c>
      <c r="O417" s="0" t="str">
        <f aca="false">IF(AND($F417="Not Started",$A417&lt;&gt;""),SUMPRODUCT(($F$2:$F$600="Not Started")*($A$2:$A$600&lt;&gt;"")*((IF($G$2:$G$600="",99999999,$G$2:$G$600))&lt;IF($G417="",99999999,$G417)))+SUMPRODUCT(($F$2:$F417="Not Started")*($A$2:$A417&lt;&gt;"")*((IF($G$2:$G417="",99999999,$G$2:$G417))=IF($G417="",99999999,$G417))),"")</f>
        <v/>
      </c>
      <c r="P417" s="0" t="str">
        <f aca="false">IF(AND(OR($F417="In Progress",$F417="Pending Client Data",$F417="Under Review"),$A417&lt;&gt;""),SUMPRODUCT((($F$2:$F$600="In Progress")+($F$2:$F$600="Pending Client Data")+($F$2:$F$600="Under Review"))*($A$2:$A$600&lt;&gt;"")*((IF($G$2:$G$600="",99999999,$G$2:$G$600))&lt;IF($G417="",99999999,$G417)))+SUMPRODUCT((($F$2:$F417="In Progress")+($F$2:$F417="Pending Client Data")+($F$2:$F417="Under Review"))*($A$2:$A417&lt;&gt;"")*((IF($G$2:$G417="",99999999,$G$2:$G417))=IF($G417="",99999999,$G417))),"")</f>
        <v/>
      </c>
    </row>
    <row r="418" customFormat="false" ht="15" hidden="false" customHeight="false" outlineLevel="0" collapsed="false">
      <c r="A418" s="9"/>
      <c r="B418" s="9"/>
      <c r="C418" s="10" t="str">
        <f aca="false">IF($B418="","",IFERROR(INDEX('Client Master'!$C:$C,MATCH($B418,'Client Master'!$B:$B,0)),"Code not found"))</f>
        <v/>
      </c>
      <c r="D418" s="9"/>
      <c r="E418" s="9"/>
      <c r="F418" s="9"/>
      <c r="G418" s="11"/>
      <c r="H418" s="11"/>
      <c r="I418" s="9"/>
      <c r="J418" s="12"/>
      <c r="K418" s="11"/>
      <c r="L418" s="9"/>
      <c r="N418" s="0" t="str">
        <f aca="false">IF(AND($J418&gt;0,$K418="",$A418&lt;&gt;""),SUMPRODUCT(($J$2:$J$600&gt;0)*($K$2:$K$600="")*($A$2:$A$600&lt;&gt;"")*((IF($G$2:$G$600="",99999999,$G$2:$G$600))&lt;IF($G418="",99999999,$G418)))+SUMPRODUCT(($J$2:$J418&gt;0)*($K$2:$K418="")*($A$2:$A418&lt;&gt;"")*((IF($G$2:$G418="",99999999,$G$2:$G418))=IF($G418="",99999999,$G418))),"")</f>
        <v/>
      </c>
      <c r="O418" s="0" t="str">
        <f aca="false">IF(AND($F418="Not Started",$A418&lt;&gt;""),SUMPRODUCT(($F$2:$F$600="Not Started")*($A$2:$A$600&lt;&gt;"")*((IF($G$2:$G$600="",99999999,$G$2:$G$600))&lt;IF($G418="",99999999,$G418)))+SUMPRODUCT(($F$2:$F418="Not Started")*($A$2:$A418&lt;&gt;"")*((IF($G$2:$G418="",99999999,$G$2:$G418))=IF($G418="",99999999,$G418))),"")</f>
        <v/>
      </c>
      <c r="P418" s="0" t="str">
        <f aca="false">IF(AND(OR($F418="In Progress",$F418="Pending Client Data",$F418="Under Review"),$A418&lt;&gt;""),SUMPRODUCT((($F$2:$F$600="In Progress")+($F$2:$F$600="Pending Client Data")+($F$2:$F$600="Under Review"))*($A$2:$A$600&lt;&gt;"")*((IF($G$2:$G$600="",99999999,$G$2:$G$600))&lt;IF($G418="",99999999,$G418)))+SUMPRODUCT((($F$2:$F418="In Progress")+($F$2:$F418="Pending Client Data")+($F$2:$F418="Under Review"))*($A$2:$A418&lt;&gt;"")*((IF($G$2:$G418="",99999999,$G$2:$G418))=IF($G418="",99999999,$G418))),"")</f>
        <v/>
      </c>
    </row>
    <row r="419" customFormat="false" ht="15" hidden="false" customHeight="false" outlineLevel="0" collapsed="false">
      <c r="A419" s="9"/>
      <c r="B419" s="9"/>
      <c r="C419" s="10" t="str">
        <f aca="false">IF($B419="","",IFERROR(INDEX('Client Master'!$C:$C,MATCH($B419,'Client Master'!$B:$B,0)),"Code not found"))</f>
        <v/>
      </c>
      <c r="D419" s="9"/>
      <c r="E419" s="9"/>
      <c r="F419" s="9"/>
      <c r="G419" s="11"/>
      <c r="H419" s="11"/>
      <c r="I419" s="9"/>
      <c r="J419" s="12"/>
      <c r="K419" s="11"/>
      <c r="L419" s="9"/>
      <c r="N419" s="0" t="str">
        <f aca="false">IF(AND($J419&gt;0,$K419="",$A419&lt;&gt;""),SUMPRODUCT(($J$2:$J$600&gt;0)*($K$2:$K$600="")*($A$2:$A$600&lt;&gt;"")*((IF($G$2:$G$600="",99999999,$G$2:$G$600))&lt;IF($G419="",99999999,$G419)))+SUMPRODUCT(($J$2:$J419&gt;0)*($K$2:$K419="")*($A$2:$A419&lt;&gt;"")*((IF($G$2:$G419="",99999999,$G$2:$G419))=IF($G419="",99999999,$G419))),"")</f>
        <v/>
      </c>
      <c r="O419" s="0" t="str">
        <f aca="false">IF(AND($F419="Not Started",$A419&lt;&gt;""),SUMPRODUCT(($F$2:$F$600="Not Started")*($A$2:$A$600&lt;&gt;"")*((IF($G$2:$G$600="",99999999,$G$2:$G$600))&lt;IF($G419="",99999999,$G419)))+SUMPRODUCT(($F$2:$F419="Not Started")*($A$2:$A419&lt;&gt;"")*((IF($G$2:$G419="",99999999,$G$2:$G419))=IF($G419="",99999999,$G419))),"")</f>
        <v/>
      </c>
      <c r="P419" s="0" t="str">
        <f aca="false">IF(AND(OR($F419="In Progress",$F419="Pending Client Data",$F419="Under Review"),$A419&lt;&gt;""),SUMPRODUCT((($F$2:$F$600="In Progress")+($F$2:$F$600="Pending Client Data")+($F$2:$F$600="Under Review"))*($A$2:$A$600&lt;&gt;"")*((IF($G$2:$G$600="",99999999,$G$2:$G$600))&lt;IF($G419="",99999999,$G419)))+SUMPRODUCT((($F$2:$F419="In Progress")+($F$2:$F419="Pending Client Data")+($F$2:$F419="Under Review"))*($A$2:$A419&lt;&gt;"")*((IF($G$2:$G419="",99999999,$G$2:$G419))=IF($G419="",99999999,$G419))),"")</f>
        <v/>
      </c>
    </row>
    <row r="420" customFormat="false" ht="15" hidden="false" customHeight="false" outlineLevel="0" collapsed="false">
      <c r="A420" s="9"/>
      <c r="B420" s="9"/>
      <c r="C420" s="10" t="str">
        <f aca="false">IF($B420="","",IFERROR(INDEX('Client Master'!$C:$C,MATCH($B420,'Client Master'!$B:$B,0)),"Code not found"))</f>
        <v/>
      </c>
      <c r="D420" s="9"/>
      <c r="E420" s="9"/>
      <c r="F420" s="9"/>
      <c r="G420" s="11"/>
      <c r="H420" s="11"/>
      <c r="I420" s="9"/>
      <c r="J420" s="12"/>
      <c r="K420" s="11"/>
      <c r="L420" s="9"/>
      <c r="N420" s="0" t="str">
        <f aca="false">IF(AND($J420&gt;0,$K420="",$A420&lt;&gt;""),SUMPRODUCT(($J$2:$J$600&gt;0)*($K$2:$K$600="")*($A$2:$A$600&lt;&gt;"")*((IF($G$2:$G$600="",99999999,$G$2:$G$600))&lt;IF($G420="",99999999,$G420)))+SUMPRODUCT(($J$2:$J420&gt;0)*($K$2:$K420="")*($A$2:$A420&lt;&gt;"")*((IF($G$2:$G420="",99999999,$G$2:$G420))=IF($G420="",99999999,$G420))),"")</f>
        <v/>
      </c>
      <c r="O420" s="0" t="str">
        <f aca="false">IF(AND($F420="Not Started",$A420&lt;&gt;""),SUMPRODUCT(($F$2:$F$600="Not Started")*($A$2:$A$600&lt;&gt;"")*((IF($G$2:$G$600="",99999999,$G$2:$G$600))&lt;IF($G420="",99999999,$G420)))+SUMPRODUCT(($F$2:$F420="Not Started")*($A$2:$A420&lt;&gt;"")*((IF($G$2:$G420="",99999999,$G$2:$G420))=IF($G420="",99999999,$G420))),"")</f>
        <v/>
      </c>
      <c r="P420" s="0" t="str">
        <f aca="false">IF(AND(OR($F420="In Progress",$F420="Pending Client Data",$F420="Under Review"),$A420&lt;&gt;""),SUMPRODUCT((($F$2:$F$600="In Progress")+($F$2:$F$600="Pending Client Data")+($F$2:$F$600="Under Review"))*($A$2:$A$600&lt;&gt;"")*((IF($G$2:$G$600="",99999999,$G$2:$G$600))&lt;IF($G420="",99999999,$G420)))+SUMPRODUCT((($F$2:$F420="In Progress")+($F$2:$F420="Pending Client Data")+($F$2:$F420="Under Review"))*($A$2:$A420&lt;&gt;"")*((IF($G$2:$G420="",99999999,$G$2:$G420))=IF($G420="",99999999,$G420))),"")</f>
        <v/>
      </c>
    </row>
    <row r="421" customFormat="false" ht="15" hidden="false" customHeight="false" outlineLevel="0" collapsed="false">
      <c r="A421" s="9"/>
      <c r="B421" s="9"/>
      <c r="C421" s="10" t="str">
        <f aca="false">IF($B421="","",IFERROR(INDEX('Client Master'!$C:$C,MATCH($B421,'Client Master'!$B:$B,0)),"Code not found"))</f>
        <v/>
      </c>
      <c r="D421" s="9"/>
      <c r="E421" s="9"/>
      <c r="F421" s="9"/>
      <c r="G421" s="11"/>
      <c r="H421" s="11"/>
      <c r="I421" s="9"/>
      <c r="J421" s="12"/>
      <c r="K421" s="11"/>
      <c r="L421" s="9"/>
      <c r="N421" s="0" t="str">
        <f aca="false">IF(AND($J421&gt;0,$K421="",$A421&lt;&gt;""),SUMPRODUCT(($J$2:$J$600&gt;0)*($K$2:$K$600="")*($A$2:$A$600&lt;&gt;"")*((IF($G$2:$G$600="",99999999,$G$2:$G$600))&lt;IF($G421="",99999999,$G421)))+SUMPRODUCT(($J$2:$J421&gt;0)*($K$2:$K421="")*($A$2:$A421&lt;&gt;"")*((IF($G$2:$G421="",99999999,$G$2:$G421))=IF($G421="",99999999,$G421))),"")</f>
        <v/>
      </c>
      <c r="O421" s="0" t="str">
        <f aca="false">IF(AND($F421="Not Started",$A421&lt;&gt;""),SUMPRODUCT(($F$2:$F$600="Not Started")*($A$2:$A$600&lt;&gt;"")*((IF($G$2:$G$600="",99999999,$G$2:$G$600))&lt;IF($G421="",99999999,$G421)))+SUMPRODUCT(($F$2:$F421="Not Started")*($A$2:$A421&lt;&gt;"")*((IF($G$2:$G421="",99999999,$G$2:$G421))=IF($G421="",99999999,$G421))),"")</f>
        <v/>
      </c>
      <c r="P421" s="0" t="str">
        <f aca="false">IF(AND(OR($F421="In Progress",$F421="Pending Client Data",$F421="Under Review"),$A421&lt;&gt;""),SUMPRODUCT((($F$2:$F$600="In Progress")+($F$2:$F$600="Pending Client Data")+($F$2:$F$600="Under Review"))*($A$2:$A$600&lt;&gt;"")*((IF($G$2:$G$600="",99999999,$G$2:$G$600))&lt;IF($G421="",99999999,$G421)))+SUMPRODUCT((($F$2:$F421="In Progress")+($F$2:$F421="Pending Client Data")+($F$2:$F421="Under Review"))*($A$2:$A421&lt;&gt;"")*((IF($G$2:$G421="",99999999,$G$2:$G421))=IF($G421="",99999999,$G421))),"")</f>
        <v/>
      </c>
    </row>
    <row r="422" customFormat="false" ht="15" hidden="false" customHeight="false" outlineLevel="0" collapsed="false">
      <c r="A422" s="9"/>
      <c r="B422" s="9"/>
      <c r="C422" s="10" t="str">
        <f aca="false">IF($B422="","",IFERROR(INDEX('Client Master'!$C:$C,MATCH($B422,'Client Master'!$B:$B,0)),"Code not found"))</f>
        <v/>
      </c>
      <c r="D422" s="9"/>
      <c r="E422" s="9"/>
      <c r="F422" s="9"/>
      <c r="G422" s="11"/>
      <c r="H422" s="11"/>
      <c r="I422" s="9"/>
      <c r="J422" s="12"/>
      <c r="K422" s="11"/>
      <c r="L422" s="9"/>
      <c r="N422" s="0" t="str">
        <f aca="false">IF(AND($J422&gt;0,$K422="",$A422&lt;&gt;""),SUMPRODUCT(($J$2:$J$600&gt;0)*($K$2:$K$600="")*($A$2:$A$600&lt;&gt;"")*((IF($G$2:$G$600="",99999999,$G$2:$G$600))&lt;IF($G422="",99999999,$G422)))+SUMPRODUCT(($J$2:$J422&gt;0)*($K$2:$K422="")*($A$2:$A422&lt;&gt;"")*((IF($G$2:$G422="",99999999,$G$2:$G422))=IF($G422="",99999999,$G422))),"")</f>
        <v/>
      </c>
      <c r="O422" s="0" t="str">
        <f aca="false">IF(AND($F422="Not Started",$A422&lt;&gt;""),SUMPRODUCT(($F$2:$F$600="Not Started")*($A$2:$A$600&lt;&gt;"")*((IF($G$2:$G$600="",99999999,$G$2:$G$600))&lt;IF($G422="",99999999,$G422)))+SUMPRODUCT(($F$2:$F422="Not Started")*($A$2:$A422&lt;&gt;"")*((IF($G$2:$G422="",99999999,$G$2:$G422))=IF($G422="",99999999,$G422))),"")</f>
        <v/>
      </c>
      <c r="P422" s="0" t="str">
        <f aca="false">IF(AND(OR($F422="In Progress",$F422="Pending Client Data",$F422="Under Review"),$A422&lt;&gt;""),SUMPRODUCT((($F$2:$F$600="In Progress")+($F$2:$F$600="Pending Client Data")+($F$2:$F$600="Under Review"))*($A$2:$A$600&lt;&gt;"")*((IF($G$2:$G$600="",99999999,$G$2:$G$600))&lt;IF($G422="",99999999,$G422)))+SUMPRODUCT((($F$2:$F422="In Progress")+($F$2:$F422="Pending Client Data")+($F$2:$F422="Under Review"))*($A$2:$A422&lt;&gt;"")*((IF($G$2:$G422="",99999999,$G$2:$G422))=IF($G422="",99999999,$G422))),"")</f>
        <v/>
      </c>
    </row>
    <row r="423" customFormat="false" ht="15" hidden="false" customHeight="false" outlineLevel="0" collapsed="false">
      <c r="A423" s="9"/>
      <c r="B423" s="9"/>
      <c r="C423" s="10" t="str">
        <f aca="false">IF($B423="","",IFERROR(INDEX('Client Master'!$C:$C,MATCH($B423,'Client Master'!$B:$B,0)),"Code not found"))</f>
        <v/>
      </c>
      <c r="D423" s="9"/>
      <c r="E423" s="9"/>
      <c r="F423" s="9"/>
      <c r="G423" s="11"/>
      <c r="H423" s="11"/>
      <c r="I423" s="9"/>
      <c r="J423" s="12"/>
      <c r="K423" s="11"/>
      <c r="L423" s="9"/>
      <c r="N423" s="0" t="str">
        <f aca="false">IF(AND($J423&gt;0,$K423="",$A423&lt;&gt;""),SUMPRODUCT(($J$2:$J$600&gt;0)*($K$2:$K$600="")*($A$2:$A$600&lt;&gt;"")*((IF($G$2:$G$600="",99999999,$G$2:$G$600))&lt;IF($G423="",99999999,$G423)))+SUMPRODUCT(($J$2:$J423&gt;0)*($K$2:$K423="")*($A$2:$A423&lt;&gt;"")*((IF($G$2:$G423="",99999999,$G$2:$G423))=IF($G423="",99999999,$G423))),"")</f>
        <v/>
      </c>
      <c r="O423" s="0" t="str">
        <f aca="false">IF(AND($F423="Not Started",$A423&lt;&gt;""),SUMPRODUCT(($F$2:$F$600="Not Started")*($A$2:$A$600&lt;&gt;"")*((IF($G$2:$G$600="",99999999,$G$2:$G$600))&lt;IF($G423="",99999999,$G423)))+SUMPRODUCT(($F$2:$F423="Not Started")*($A$2:$A423&lt;&gt;"")*((IF($G$2:$G423="",99999999,$G$2:$G423))=IF($G423="",99999999,$G423))),"")</f>
        <v/>
      </c>
      <c r="P423" s="0" t="str">
        <f aca="false">IF(AND(OR($F423="In Progress",$F423="Pending Client Data",$F423="Under Review"),$A423&lt;&gt;""),SUMPRODUCT((($F$2:$F$600="In Progress")+($F$2:$F$600="Pending Client Data")+($F$2:$F$600="Under Review"))*($A$2:$A$600&lt;&gt;"")*((IF($G$2:$G$600="",99999999,$G$2:$G$600))&lt;IF($G423="",99999999,$G423)))+SUMPRODUCT((($F$2:$F423="In Progress")+($F$2:$F423="Pending Client Data")+($F$2:$F423="Under Review"))*($A$2:$A423&lt;&gt;"")*((IF($G$2:$G423="",99999999,$G$2:$G423))=IF($G423="",99999999,$G423))),"")</f>
        <v/>
      </c>
    </row>
    <row r="424" customFormat="false" ht="15" hidden="false" customHeight="false" outlineLevel="0" collapsed="false">
      <c r="A424" s="9"/>
      <c r="B424" s="9"/>
      <c r="C424" s="10" t="str">
        <f aca="false">IF($B424="","",IFERROR(INDEX('Client Master'!$C:$C,MATCH($B424,'Client Master'!$B:$B,0)),"Code not found"))</f>
        <v/>
      </c>
      <c r="D424" s="9"/>
      <c r="E424" s="9"/>
      <c r="F424" s="9"/>
      <c r="G424" s="11"/>
      <c r="H424" s="11"/>
      <c r="I424" s="9"/>
      <c r="J424" s="12"/>
      <c r="K424" s="11"/>
      <c r="L424" s="9"/>
      <c r="N424" s="0" t="str">
        <f aca="false">IF(AND($J424&gt;0,$K424="",$A424&lt;&gt;""),SUMPRODUCT(($J$2:$J$600&gt;0)*($K$2:$K$600="")*($A$2:$A$600&lt;&gt;"")*((IF($G$2:$G$600="",99999999,$G$2:$G$600))&lt;IF($G424="",99999999,$G424)))+SUMPRODUCT(($J$2:$J424&gt;0)*($K$2:$K424="")*($A$2:$A424&lt;&gt;"")*((IF($G$2:$G424="",99999999,$G$2:$G424))=IF($G424="",99999999,$G424))),"")</f>
        <v/>
      </c>
      <c r="O424" s="0" t="str">
        <f aca="false">IF(AND($F424="Not Started",$A424&lt;&gt;""),SUMPRODUCT(($F$2:$F$600="Not Started")*($A$2:$A$600&lt;&gt;"")*((IF($G$2:$G$600="",99999999,$G$2:$G$600))&lt;IF($G424="",99999999,$G424)))+SUMPRODUCT(($F$2:$F424="Not Started")*($A$2:$A424&lt;&gt;"")*((IF($G$2:$G424="",99999999,$G$2:$G424))=IF($G424="",99999999,$G424))),"")</f>
        <v/>
      </c>
      <c r="P424" s="0" t="str">
        <f aca="false">IF(AND(OR($F424="In Progress",$F424="Pending Client Data",$F424="Under Review"),$A424&lt;&gt;""),SUMPRODUCT((($F$2:$F$600="In Progress")+($F$2:$F$600="Pending Client Data")+($F$2:$F$600="Under Review"))*($A$2:$A$600&lt;&gt;"")*((IF($G$2:$G$600="",99999999,$G$2:$G$600))&lt;IF($G424="",99999999,$G424)))+SUMPRODUCT((($F$2:$F424="In Progress")+($F$2:$F424="Pending Client Data")+($F$2:$F424="Under Review"))*($A$2:$A424&lt;&gt;"")*((IF($G$2:$G424="",99999999,$G$2:$G424))=IF($G424="",99999999,$G424))),"")</f>
        <v/>
      </c>
    </row>
    <row r="425" customFormat="false" ht="15" hidden="false" customHeight="false" outlineLevel="0" collapsed="false">
      <c r="A425" s="9"/>
      <c r="B425" s="9"/>
      <c r="C425" s="10" t="str">
        <f aca="false">IF($B425="","",IFERROR(INDEX('Client Master'!$C:$C,MATCH($B425,'Client Master'!$B:$B,0)),"Code not found"))</f>
        <v/>
      </c>
      <c r="D425" s="9"/>
      <c r="E425" s="9"/>
      <c r="F425" s="9"/>
      <c r="G425" s="11"/>
      <c r="H425" s="11"/>
      <c r="I425" s="9"/>
      <c r="J425" s="12"/>
      <c r="K425" s="11"/>
      <c r="L425" s="9"/>
      <c r="N425" s="0" t="str">
        <f aca="false">IF(AND($J425&gt;0,$K425="",$A425&lt;&gt;""),SUMPRODUCT(($J$2:$J$600&gt;0)*($K$2:$K$600="")*($A$2:$A$600&lt;&gt;"")*((IF($G$2:$G$600="",99999999,$G$2:$G$600))&lt;IF($G425="",99999999,$G425)))+SUMPRODUCT(($J$2:$J425&gt;0)*($K$2:$K425="")*($A$2:$A425&lt;&gt;"")*((IF($G$2:$G425="",99999999,$G$2:$G425))=IF($G425="",99999999,$G425))),"")</f>
        <v/>
      </c>
      <c r="O425" s="0" t="str">
        <f aca="false">IF(AND($F425="Not Started",$A425&lt;&gt;""),SUMPRODUCT(($F$2:$F$600="Not Started")*($A$2:$A$600&lt;&gt;"")*((IF($G$2:$G$600="",99999999,$G$2:$G$600))&lt;IF($G425="",99999999,$G425)))+SUMPRODUCT(($F$2:$F425="Not Started")*($A$2:$A425&lt;&gt;"")*((IF($G$2:$G425="",99999999,$G$2:$G425))=IF($G425="",99999999,$G425))),"")</f>
        <v/>
      </c>
      <c r="P425" s="0" t="str">
        <f aca="false">IF(AND(OR($F425="In Progress",$F425="Pending Client Data",$F425="Under Review"),$A425&lt;&gt;""),SUMPRODUCT((($F$2:$F$600="In Progress")+($F$2:$F$600="Pending Client Data")+($F$2:$F$600="Under Review"))*($A$2:$A$600&lt;&gt;"")*((IF($G$2:$G$600="",99999999,$G$2:$G$600))&lt;IF($G425="",99999999,$G425)))+SUMPRODUCT((($F$2:$F425="In Progress")+($F$2:$F425="Pending Client Data")+($F$2:$F425="Under Review"))*($A$2:$A425&lt;&gt;"")*((IF($G$2:$G425="",99999999,$G$2:$G425))=IF($G425="",99999999,$G425))),"")</f>
        <v/>
      </c>
    </row>
    <row r="426" customFormat="false" ht="15" hidden="false" customHeight="false" outlineLevel="0" collapsed="false">
      <c r="A426" s="9"/>
      <c r="B426" s="9"/>
      <c r="C426" s="10" t="str">
        <f aca="false">IF($B426="","",IFERROR(INDEX('Client Master'!$C:$C,MATCH($B426,'Client Master'!$B:$B,0)),"Code not found"))</f>
        <v/>
      </c>
      <c r="D426" s="9"/>
      <c r="E426" s="9"/>
      <c r="F426" s="9"/>
      <c r="G426" s="11"/>
      <c r="H426" s="11"/>
      <c r="I426" s="9"/>
      <c r="J426" s="12"/>
      <c r="K426" s="11"/>
      <c r="L426" s="9"/>
      <c r="N426" s="0" t="str">
        <f aca="false">IF(AND($J426&gt;0,$K426="",$A426&lt;&gt;""),SUMPRODUCT(($J$2:$J$600&gt;0)*($K$2:$K$600="")*($A$2:$A$600&lt;&gt;"")*((IF($G$2:$G$600="",99999999,$G$2:$G$600))&lt;IF($G426="",99999999,$G426)))+SUMPRODUCT(($J$2:$J426&gt;0)*($K$2:$K426="")*($A$2:$A426&lt;&gt;"")*((IF($G$2:$G426="",99999999,$G$2:$G426))=IF($G426="",99999999,$G426))),"")</f>
        <v/>
      </c>
      <c r="O426" s="0" t="str">
        <f aca="false">IF(AND($F426="Not Started",$A426&lt;&gt;""),SUMPRODUCT(($F$2:$F$600="Not Started")*($A$2:$A$600&lt;&gt;"")*((IF($G$2:$G$600="",99999999,$G$2:$G$600))&lt;IF($G426="",99999999,$G426)))+SUMPRODUCT(($F$2:$F426="Not Started")*($A$2:$A426&lt;&gt;"")*((IF($G$2:$G426="",99999999,$G$2:$G426))=IF($G426="",99999999,$G426))),"")</f>
        <v/>
      </c>
      <c r="P426" s="0" t="str">
        <f aca="false">IF(AND(OR($F426="In Progress",$F426="Pending Client Data",$F426="Under Review"),$A426&lt;&gt;""),SUMPRODUCT((($F$2:$F$600="In Progress")+($F$2:$F$600="Pending Client Data")+($F$2:$F$600="Under Review"))*($A$2:$A$600&lt;&gt;"")*((IF($G$2:$G$600="",99999999,$G$2:$G$600))&lt;IF($G426="",99999999,$G426)))+SUMPRODUCT((($F$2:$F426="In Progress")+($F$2:$F426="Pending Client Data")+($F$2:$F426="Under Review"))*($A$2:$A426&lt;&gt;"")*((IF($G$2:$G426="",99999999,$G$2:$G426))=IF($G426="",99999999,$G426))),"")</f>
        <v/>
      </c>
    </row>
    <row r="427" customFormat="false" ht="15" hidden="false" customHeight="false" outlineLevel="0" collapsed="false">
      <c r="A427" s="9"/>
      <c r="B427" s="9"/>
      <c r="C427" s="10" t="str">
        <f aca="false">IF($B427="","",IFERROR(INDEX('Client Master'!$C:$C,MATCH($B427,'Client Master'!$B:$B,0)),"Code not found"))</f>
        <v/>
      </c>
      <c r="D427" s="9"/>
      <c r="E427" s="9"/>
      <c r="F427" s="9"/>
      <c r="G427" s="11"/>
      <c r="H427" s="11"/>
      <c r="I427" s="9"/>
      <c r="J427" s="12"/>
      <c r="K427" s="11"/>
      <c r="L427" s="9"/>
      <c r="N427" s="0" t="str">
        <f aca="false">IF(AND($J427&gt;0,$K427="",$A427&lt;&gt;""),SUMPRODUCT(($J$2:$J$600&gt;0)*($K$2:$K$600="")*($A$2:$A$600&lt;&gt;"")*((IF($G$2:$G$600="",99999999,$G$2:$G$600))&lt;IF($G427="",99999999,$G427)))+SUMPRODUCT(($J$2:$J427&gt;0)*($K$2:$K427="")*($A$2:$A427&lt;&gt;"")*((IF($G$2:$G427="",99999999,$G$2:$G427))=IF($G427="",99999999,$G427))),"")</f>
        <v/>
      </c>
      <c r="O427" s="0" t="str">
        <f aca="false">IF(AND($F427="Not Started",$A427&lt;&gt;""),SUMPRODUCT(($F$2:$F$600="Not Started")*($A$2:$A$600&lt;&gt;"")*((IF($G$2:$G$600="",99999999,$G$2:$G$600))&lt;IF($G427="",99999999,$G427)))+SUMPRODUCT(($F$2:$F427="Not Started")*($A$2:$A427&lt;&gt;"")*((IF($G$2:$G427="",99999999,$G$2:$G427))=IF($G427="",99999999,$G427))),"")</f>
        <v/>
      </c>
      <c r="P427" s="0" t="str">
        <f aca="false">IF(AND(OR($F427="In Progress",$F427="Pending Client Data",$F427="Under Review"),$A427&lt;&gt;""),SUMPRODUCT((($F$2:$F$600="In Progress")+($F$2:$F$600="Pending Client Data")+($F$2:$F$600="Under Review"))*($A$2:$A$600&lt;&gt;"")*((IF($G$2:$G$600="",99999999,$G$2:$G$600))&lt;IF($G427="",99999999,$G427)))+SUMPRODUCT((($F$2:$F427="In Progress")+($F$2:$F427="Pending Client Data")+($F$2:$F427="Under Review"))*($A$2:$A427&lt;&gt;"")*((IF($G$2:$G427="",99999999,$G$2:$G427))=IF($G427="",99999999,$G427))),"")</f>
        <v/>
      </c>
    </row>
    <row r="428" customFormat="false" ht="15" hidden="false" customHeight="false" outlineLevel="0" collapsed="false">
      <c r="A428" s="9"/>
      <c r="B428" s="9"/>
      <c r="C428" s="10" t="str">
        <f aca="false">IF($B428="","",IFERROR(INDEX('Client Master'!$C:$C,MATCH($B428,'Client Master'!$B:$B,0)),"Code not found"))</f>
        <v/>
      </c>
      <c r="D428" s="9"/>
      <c r="E428" s="9"/>
      <c r="F428" s="9"/>
      <c r="G428" s="11"/>
      <c r="H428" s="11"/>
      <c r="I428" s="9"/>
      <c r="J428" s="12"/>
      <c r="K428" s="11"/>
      <c r="L428" s="9"/>
      <c r="N428" s="0" t="str">
        <f aca="false">IF(AND($J428&gt;0,$K428="",$A428&lt;&gt;""),SUMPRODUCT(($J$2:$J$600&gt;0)*($K$2:$K$600="")*($A$2:$A$600&lt;&gt;"")*((IF($G$2:$G$600="",99999999,$G$2:$G$600))&lt;IF($G428="",99999999,$G428)))+SUMPRODUCT(($J$2:$J428&gt;0)*($K$2:$K428="")*($A$2:$A428&lt;&gt;"")*((IF($G$2:$G428="",99999999,$G$2:$G428))=IF($G428="",99999999,$G428))),"")</f>
        <v/>
      </c>
      <c r="O428" s="0" t="str">
        <f aca="false">IF(AND($F428="Not Started",$A428&lt;&gt;""),SUMPRODUCT(($F$2:$F$600="Not Started")*($A$2:$A$600&lt;&gt;"")*((IF($G$2:$G$600="",99999999,$G$2:$G$600))&lt;IF($G428="",99999999,$G428)))+SUMPRODUCT(($F$2:$F428="Not Started")*($A$2:$A428&lt;&gt;"")*((IF($G$2:$G428="",99999999,$G$2:$G428))=IF($G428="",99999999,$G428))),"")</f>
        <v/>
      </c>
      <c r="P428" s="0" t="str">
        <f aca="false">IF(AND(OR($F428="In Progress",$F428="Pending Client Data",$F428="Under Review"),$A428&lt;&gt;""),SUMPRODUCT((($F$2:$F$600="In Progress")+($F$2:$F$600="Pending Client Data")+($F$2:$F$600="Under Review"))*($A$2:$A$600&lt;&gt;"")*((IF($G$2:$G$600="",99999999,$G$2:$G$600))&lt;IF($G428="",99999999,$G428)))+SUMPRODUCT((($F$2:$F428="In Progress")+($F$2:$F428="Pending Client Data")+($F$2:$F428="Under Review"))*($A$2:$A428&lt;&gt;"")*((IF($G$2:$G428="",99999999,$G$2:$G428))=IF($G428="",99999999,$G428))),"")</f>
        <v/>
      </c>
    </row>
    <row r="429" customFormat="false" ht="15" hidden="false" customHeight="false" outlineLevel="0" collapsed="false">
      <c r="A429" s="9"/>
      <c r="B429" s="9"/>
      <c r="C429" s="10" t="str">
        <f aca="false">IF($B429="","",IFERROR(INDEX('Client Master'!$C:$C,MATCH($B429,'Client Master'!$B:$B,0)),"Code not found"))</f>
        <v/>
      </c>
      <c r="D429" s="9"/>
      <c r="E429" s="9"/>
      <c r="F429" s="9"/>
      <c r="G429" s="11"/>
      <c r="H429" s="11"/>
      <c r="I429" s="9"/>
      <c r="J429" s="12"/>
      <c r="K429" s="11"/>
      <c r="L429" s="9"/>
      <c r="N429" s="0" t="str">
        <f aca="false">IF(AND($J429&gt;0,$K429="",$A429&lt;&gt;""),SUMPRODUCT(($J$2:$J$600&gt;0)*($K$2:$K$600="")*($A$2:$A$600&lt;&gt;"")*((IF($G$2:$G$600="",99999999,$G$2:$G$600))&lt;IF($G429="",99999999,$G429)))+SUMPRODUCT(($J$2:$J429&gt;0)*($K$2:$K429="")*($A$2:$A429&lt;&gt;"")*((IF($G$2:$G429="",99999999,$G$2:$G429))=IF($G429="",99999999,$G429))),"")</f>
        <v/>
      </c>
      <c r="O429" s="0" t="str">
        <f aca="false">IF(AND($F429="Not Started",$A429&lt;&gt;""),SUMPRODUCT(($F$2:$F$600="Not Started")*($A$2:$A$600&lt;&gt;"")*((IF($G$2:$G$600="",99999999,$G$2:$G$600))&lt;IF($G429="",99999999,$G429)))+SUMPRODUCT(($F$2:$F429="Not Started")*($A$2:$A429&lt;&gt;"")*((IF($G$2:$G429="",99999999,$G$2:$G429))=IF($G429="",99999999,$G429))),"")</f>
        <v/>
      </c>
      <c r="P429" s="0" t="str">
        <f aca="false">IF(AND(OR($F429="In Progress",$F429="Pending Client Data",$F429="Under Review"),$A429&lt;&gt;""),SUMPRODUCT((($F$2:$F$600="In Progress")+($F$2:$F$600="Pending Client Data")+($F$2:$F$600="Under Review"))*($A$2:$A$600&lt;&gt;"")*((IF($G$2:$G$600="",99999999,$G$2:$G$600))&lt;IF($G429="",99999999,$G429)))+SUMPRODUCT((($F$2:$F429="In Progress")+($F$2:$F429="Pending Client Data")+($F$2:$F429="Under Review"))*($A$2:$A429&lt;&gt;"")*((IF($G$2:$G429="",99999999,$G$2:$G429))=IF($G429="",99999999,$G429))),"")</f>
        <v/>
      </c>
    </row>
    <row r="430" customFormat="false" ht="15" hidden="false" customHeight="false" outlineLevel="0" collapsed="false">
      <c r="A430" s="9"/>
      <c r="B430" s="9"/>
      <c r="C430" s="10" t="str">
        <f aca="false">IF($B430="","",IFERROR(INDEX('Client Master'!$C:$C,MATCH($B430,'Client Master'!$B:$B,0)),"Code not found"))</f>
        <v/>
      </c>
      <c r="D430" s="9"/>
      <c r="E430" s="9"/>
      <c r="F430" s="9"/>
      <c r="G430" s="11"/>
      <c r="H430" s="11"/>
      <c r="I430" s="9"/>
      <c r="J430" s="12"/>
      <c r="K430" s="11"/>
      <c r="L430" s="9"/>
      <c r="N430" s="0" t="str">
        <f aca="false">IF(AND($J430&gt;0,$K430="",$A430&lt;&gt;""),SUMPRODUCT(($J$2:$J$600&gt;0)*($K$2:$K$600="")*($A$2:$A$600&lt;&gt;"")*((IF($G$2:$G$600="",99999999,$G$2:$G$600))&lt;IF($G430="",99999999,$G430)))+SUMPRODUCT(($J$2:$J430&gt;0)*($K$2:$K430="")*($A$2:$A430&lt;&gt;"")*((IF($G$2:$G430="",99999999,$G$2:$G430))=IF($G430="",99999999,$G430))),"")</f>
        <v/>
      </c>
      <c r="O430" s="0" t="str">
        <f aca="false">IF(AND($F430="Not Started",$A430&lt;&gt;""),SUMPRODUCT(($F$2:$F$600="Not Started")*($A$2:$A$600&lt;&gt;"")*((IF($G$2:$G$600="",99999999,$G$2:$G$600))&lt;IF($G430="",99999999,$G430)))+SUMPRODUCT(($F$2:$F430="Not Started")*($A$2:$A430&lt;&gt;"")*((IF($G$2:$G430="",99999999,$G$2:$G430))=IF($G430="",99999999,$G430))),"")</f>
        <v/>
      </c>
      <c r="P430" s="0" t="str">
        <f aca="false">IF(AND(OR($F430="In Progress",$F430="Pending Client Data",$F430="Under Review"),$A430&lt;&gt;""),SUMPRODUCT((($F$2:$F$600="In Progress")+($F$2:$F$600="Pending Client Data")+($F$2:$F$600="Under Review"))*($A$2:$A$600&lt;&gt;"")*((IF($G$2:$G$600="",99999999,$G$2:$G$600))&lt;IF($G430="",99999999,$G430)))+SUMPRODUCT((($F$2:$F430="In Progress")+($F$2:$F430="Pending Client Data")+($F$2:$F430="Under Review"))*($A$2:$A430&lt;&gt;"")*((IF($G$2:$G430="",99999999,$G$2:$G430))=IF($G430="",99999999,$G430))),"")</f>
        <v/>
      </c>
    </row>
    <row r="431" customFormat="false" ht="15" hidden="false" customHeight="false" outlineLevel="0" collapsed="false">
      <c r="A431" s="9"/>
      <c r="B431" s="9"/>
      <c r="C431" s="10" t="str">
        <f aca="false">IF($B431="","",IFERROR(INDEX('Client Master'!$C:$C,MATCH($B431,'Client Master'!$B:$B,0)),"Code not found"))</f>
        <v/>
      </c>
      <c r="D431" s="9"/>
      <c r="E431" s="9"/>
      <c r="F431" s="9"/>
      <c r="G431" s="11"/>
      <c r="H431" s="11"/>
      <c r="I431" s="9"/>
      <c r="J431" s="12"/>
      <c r="K431" s="11"/>
      <c r="L431" s="9"/>
      <c r="N431" s="0" t="str">
        <f aca="false">IF(AND($J431&gt;0,$K431="",$A431&lt;&gt;""),SUMPRODUCT(($J$2:$J$600&gt;0)*($K$2:$K$600="")*($A$2:$A$600&lt;&gt;"")*((IF($G$2:$G$600="",99999999,$G$2:$G$600))&lt;IF($G431="",99999999,$G431)))+SUMPRODUCT(($J$2:$J431&gt;0)*($K$2:$K431="")*($A$2:$A431&lt;&gt;"")*((IF($G$2:$G431="",99999999,$G$2:$G431))=IF($G431="",99999999,$G431))),"")</f>
        <v/>
      </c>
      <c r="O431" s="0" t="str">
        <f aca="false">IF(AND($F431="Not Started",$A431&lt;&gt;""),SUMPRODUCT(($F$2:$F$600="Not Started")*($A$2:$A$600&lt;&gt;"")*((IF($G$2:$G$600="",99999999,$G$2:$G$600))&lt;IF($G431="",99999999,$G431)))+SUMPRODUCT(($F$2:$F431="Not Started")*($A$2:$A431&lt;&gt;"")*((IF($G$2:$G431="",99999999,$G$2:$G431))=IF($G431="",99999999,$G431))),"")</f>
        <v/>
      </c>
      <c r="P431" s="0" t="str">
        <f aca="false">IF(AND(OR($F431="In Progress",$F431="Pending Client Data",$F431="Under Review"),$A431&lt;&gt;""),SUMPRODUCT((($F$2:$F$600="In Progress")+($F$2:$F$600="Pending Client Data")+($F$2:$F$600="Under Review"))*($A$2:$A$600&lt;&gt;"")*((IF($G$2:$G$600="",99999999,$G$2:$G$600))&lt;IF($G431="",99999999,$G431)))+SUMPRODUCT((($F$2:$F431="In Progress")+($F$2:$F431="Pending Client Data")+($F$2:$F431="Under Review"))*($A$2:$A431&lt;&gt;"")*((IF($G$2:$G431="",99999999,$G$2:$G431))=IF($G431="",99999999,$G431))),"")</f>
        <v/>
      </c>
    </row>
    <row r="432" customFormat="false" ht="15" hidden="false" customHeight="false" outlineLevel="0" collapsed="false">
      <c r="A432" s="9"/>
      <c r="B432" s="9"/>
      <c r="C432" s="10" t="str">
        <f aca="false">IF($B432="","",IFERROR(INDEX('Client Master'!$C:$C,MATCH($B432,'Client Master'!$B:$B,0)),"Code not found"))</f>
        <v/>
      </c>
      <c r="D432" s="9"/>
      <c r="E432" s="9"/>
      <c r="F432" s="9"/>
      <c r="G432" s="11"/>
      <c r="H432" s="11"/>
      <c r="I432" s="9"/>
      <c r="J432" s="12"/>
      <c r="K432" s="11"/>
      <c r="L432" s="9"/>
      <c r="N432" s="0" t="str">
        <f aca="false">IF(AND($J432&gt;0,$K432="",$A432&lt;&gt;""),SUMPRODUCT(($J$2:$J$600&gt;0)*($K$2:$K$600="")*($A$2:$A$600&lt;&gt;"")*((IF($G$2:$G$600="",99999999,$G$2:$G$600))&lt;IF($G432="",99999999,$G432)))+SUMPRODUCT(($J$2:$J432&gt;0)*($K$2:$K432="")*($A$2:$A432&lt;&gt;"")*((IF($G$2:$G432="",99999999,$G$2:$G432))=IF($G432="",99999999,$G432))),"")</f>
        <v/>
      </c>
      <c r="O432" s="0" t="str">
        <f aca="false">IF(AND($F432="Not Started",$A432&lt;&gt;""),SUMPRODUCT(($F$2:$F$600="Not Started")*($A$2:$A$600&lt;&gt;"")*((IF($G$2:$G$600="",99999999,$G$2:$G$600))&lt;IF($G432="",99999999,$G432)))+SUMPRODUCT(($F$2:$F432="Not Started")*($A$2:$A432&lt;&gt;"")*((IF($G$2:$G432="",99999999,$G$2:$G432))=IF($G432="",99999999,$G432))),"")</f>
        <v/>
      </c>
      <c r="P432" s="0" t="str">
        <f aca="false">IF(AND(OR($F432="In Progress",$F432="Pending Client Data",$F432="Under Review"),$A432&lt;&gt;""),SUMPRODUCT((($F$2:$F$600="In Progress")+($F$2:$F$600="Pending Client Data")+($F$2:$F$600="Under Review"))*($A$2:$A$600&lt;&gt;"")*((IF($G$2:$G$600="",99999999,$G$2:$G$600))&lt;IF($G432="",99999999,$G432)))+SUMPRODUCT((($F$2:$F432="In Progress")+($F$2:$F432="Pending Client Data")+($F$2:$F432="Under Review"))*($A$2:$A432&lt;&gt;"")*((IF($G$2:$G432="",99999999,$G$2:$G432))=IF($G432="",99999999,$G432))),"")</f>
        <v/>
      </c>
    </row>
    <row r="433" customFormat="false" ht="15" hidden="false" customHeight="false" outlineLevel="0" collapsed="false">
      <c r="A433" s="9"/>
      <c r="B433" s="9"/>
      <c r="C433" s="10" t="str">
        <f aca="false">IF($B433="","",IFERROR(INDEX('Client Master'!$C:$C,MATCH($B433,'Client Master'!$B:$B,0)),"Code not found"))</f>
        <v/>
      </c>
      <c r="D433" s="9"/>
      <c r="E433" s="9"/>
      <c r="F433" s="9"/>
      <c r="G433" s="11"/>
      <c r="H433" s="11"/>
      <c r="I433" s="9"/>
      <c r="J433" s="12"/>
      <c r="K433" s="11"/>
      <c r="L433" s="9"/>
      <c r="N433" s="0" t="str">
        <f aca="false">IF(AND($J433&gt;0,$K433="",$A433&lt;&gt;""),SUMPRODUCT(($J$2:$J$600&gt;0)*($K$2:$K$600="")*($A$2:$A$600&lt;&gt;"")*((IF($G$2:$G$600="",99999999,$G$2:$G$600))&lt;IF($G433="",99999999,$G433)))+SUMPRODUCT(($J$2:$J433&gt;0)*($K$2:$K433="")*($A$2:$A433&lt;&gt;"")*((IF($G$2:$G433="",99999999,$G$2:$G433))=IF($G433="",99999999,$G433))),"")</f>
        <v/>
      </c>
      <c r="O433" s="0" t="str">
        <f aca="false">IF(AND($F433="Not Started",$A433&lt;&gt;""),SUMPRODUCT(($F$2:$F$600="Not Started")*($A$2:$A$600&lt;&gt;"")*((IF($G$2:$G$600="",99999999,$G$2:$G$600))&lt;IF($G433="",99999999,$G433)))+SUMPRODUCT(($F$2:$F433="Not Started")*($A$2:$A433&lt;&gt;"")*((IF($G$2:$G433="",99999999,$G$2:$G433))=IF($G433="",99999999,$G433))),"")</f>
        <v/>
      </c>
      <c r="P433" s="0" t="str">
        <f aca="false">IF(AND(OR($F433="In Progress",$F433="Pending Client Data",$F433="Under Review"),$A433&lt;&gt;""),SUMPRODUCT((($F$2:$F$600="In Progress")+($F$2:$F$600="Pending Client Data")+($F$2:$F$600="Under Review"))*($A$2:$A$600&lt;&gt;"")*((IF($G$2:$G$600="",99999999,$G$2:$G$600))&lt;IF($G433="",99999999,$G433)))+SUMPRODUCT((($F$2:$F433="In Progress")+($F$2:$F433="Pending Client Data")+($F$2:$F433="Under Review"))*($A$2:$A433&lt;&gt;"")*((IF($G$2:$G433="",99999999,$G$2:$G433))=IF($G433="",99999999,$G433))),"")</f>
        <v/>
      </c>
    </row>
    <row r="434" customFormat="false" ht="15" hidden="false" customHeight="false" outlineLevel="0" collapsed="false">
      <c r="A434" s="9"/>
      <c r="B434" s="9"/>
      <c r="C434" s="10" t="str">
        <f aca="false">IF($B434="","",IFERROR(INDEX('Client Master'!$C:$C,MATCH($B434,'Client Master'!$B:$B,0)),"Code not found"))</f>
        <v/>
      </c>
      <c r="D434" s="9"/>
      <c r="E434" s="9"/>
      <c r="F434" s="9"/>
      <c r="G434" s="11"/>
      <c r="H434" s="11"/>
      <c r="I434" s="9"/>
      <c r="J434" s="12"/>
      <c r="K434" s="11"/>
      <c r="L434" s="9"/>
      <c r="N434" s="0" t="str">
        <f aca="false">IF(AND($J434&gt;0,$K434="",$A434&lt;&gt;""),SUMPRODUCT(($J$2:$J$600&gt;0)*($K$2:$K$600="")*($A$2:$A$600&lt;&gt;"")*((IF($G$2:$G$600="",99999999,$G$2:$G$600))&lt;IF($G434="",99999999,$G434)))+SUMPRODUCT(($J$2:$J434&gt;0)*($K$2:$K434="")*($A$2:$A434&lt;&gt;"")*((IF($G$2:$G434="",99999999,$G$2:$G434))=IF($G434="",99999999,$G434))),"")</f>
        <v/>
      </c>
      <c r="O434" s="0" t="str">
        <f aca="false">IF(AND($F434="Not Started",$A434&lt;&gt;""),SUMPRODUCT(($F$2:$F$600="Not Started")*($A$2:$A$600&lt;&gt;"")*((IF($G$2:$G$600="",99999999,$G$2:$G$600))&lt;IF($G434="",99999999,$G434)))+SUMPRODUCT(($F$2:$F434="Not Started")*($A$2:$A434&lt;&gt;"")*((IF($G$2:$G434="",99999999,$G$2:$G434))=IF($G434="",99999999,$G434))),"")</f>
        <v/>
      </c>
      <c r="P434" s="0" t="str">
        <f aca="false">IF(AND(OR($F434="In Progress",$F434="Pending Client Data",$F434="Under Review"),$A434&lt;&gt;""),SUMPRODUCT((($F$2:$F$600="In Progress")+($F$2:$F$600="Pending Client Data")+($F$2:$F$600="Under Review"))*($A$2:$A$600&lt;&gt;"")*((IF($G$2:$G$600="",99999999,$G$2:$G$600))&lt;IF($G434="",99999999,$G434)))+SUMPRODUCT((($F$2:$F434="In Progress")+($F$2:$F434="Pending Client Data")+($F$2:$F434="Under Review"))*($A$2:$A434&lt;&gt;"")*((IF($G$2:$G434="",99999999,$G$2:$G434))=IF($G434="",99999999,$G434))),"")</f>
        <v/>
      </c>
    </row>
    <row r="435" customFormat="false" ht="15" hidden="false" customHeight="false" outlineLevel="0" collapsed="false">
      <c r="A435" s="9"/>
      <c r="B435" s="9"/>
      <c r="C435" s="10" t="str">
        <f aca="false">IF($B435="","",IFERROR(INDEX('Client Master'!$C:$C,MATCH($B435,'Client Master'!$B:$B,0)),"Code not found"))</f>
        <v/>
      </c>
      <c r="D435" s="9"/>
      <c r="E435" s="9"/>
      <c r="F435" s="9"/>
      <c r="G435" s="11"/>
      <c r="H435" s="11"/>
      <c r="I435" s="9"/>
      <c r="J435" s="12"/>
      <c r="K435" s="11"/>
      <c r="L435" s="9"/>
      <c r="N435" s="0" t="str">
        <f aca="false">IF(AND($J435&gt;0,$K435="",$A435&lt;&gt;""),SUMPRODUCT(($J$2:$J$600&gt;0)*($K$2:$K$600="")*($A$2:$A$600&lt;&gt;"")*((IF($G$2:$G$600="",99999999,$G$2:$G$600))&lt;IF($G435="",99999999,$G435)))+SUMPRODUCT(($J$2:$J435&gt;0)*($K$2:$K435="")*($A$2:$A435&lt;&gt;"")*((IF($G$2:$G435="",99999999,$G$2:$G435))=IF($G435="",99999999,$G435))),"")</f>
        <v/>
      </c>
      <c r="O435" s="0" t="str">
        <f aca="false">IF(AND($F435="Not Started",$A435&lt;&gt;""),SUMPRODUCT(($F$2:$F$600="Not Started")*($A$2:$A$600&lt;&gt;"")*((IF($G$2:$G$600="",99999999,$G$2:$G$600))&lt;IF($G435="",99999999,$G435)))+SUMPRODUCT(($F$2:$F435="Not Started")*($A$2:$A435&lt;&gt;"")*((IF($G$2:$G435="",99999999,$G$2:$G435))=IF($G435="",99999999,$G435))),"")</f>
        <v/>
      </c>
      <c r="P435" s="0" t="str">
        <f aca="false">IF(AND(OR($F435="In Progress",$F435="Pending Client Data",$F435="Under Review"),$A435&lt;&gt;""),SUMPRODUCT((($F$2:$F$600="In Progress")+($F$2:$F$600="Pending Client Data")+($F$2:$F$600="Under Review"))*($A$2:$A$600&lt;&gt;"")*((IF($G$2:$G$600="",99999999,$G$2:$G$600))&lt;IF($G435="",99999999,$G435)))+SUMPRODUCT((($F$2:$F435="In Progress")+($F$2:$F435="Pending Client Data")+($F$2:$F435="Under Review"))*($A$2:$A435&lt;&gt;"")*((IF($G$2:$G435="",99999999,$G$2:$G435))=IF($G435="",99999999,$G435))),"")</f>
        <v/>
      </c>
    </row>
    <row r="436" customFormat="false" ht="15" hidden="false" customHeight="false" outlineLevel="0" collapsed="false">
      <c r="A436" s="9"/>
      <c r="B436" s="9"/>
      <c r="C436" s="10" t="str">
        <f aca="false">IF($B436="","",IFERROR(INDEX('Client Master'!$C:$C,MATCH($B436,'Client Master'!$B:$B,0)),"Code not found"))</f>
        <v/>
      </c>
      <c r="D436" s="9"/>
      <c r="E436" s="9"/>
      <c r="F436" s="9"/>
      <c r="G436" s="11"/>
      <c r="H436" s="11"/>
      <c r="I436" s="9"/>
      <c r="J436" s="12"/>
      <c r="K436" s="11"/>
      <c r="L436" s="9"/>
      <c r="N436" s="0" t="str">
        <f aca="false">IF(AND($J436&gt;0,$K436="",$A436&lt;&gt;""),SUMPRODUCT(($J$2:$J$600&gt;0)*($K$2:$K$600="")*($A$2:$A$600&lt;&gt;"")*((IF($G$2:$G$600="",99999999,$G$2:$G$600))&lt;IF($G436="",99999999,$G436)))+SUMPRODUCT(($J$2:$J436&gt;0)*($K$2:$K436="")*($A$2:$A436&lt;&gt;"")*((IF($G$2:$G436="",99999999,$G$2:$G436))=IF($G436="",99999999,$G436))),"")</f>
        <v/>
      </c>
      <c r="O436" s="0" t="str">
        <f aca="false">IF(AND($F436="Not Started",$A436&lt;&gt;""),SUMPRODUCT(($F$2:$F$600="Not Started")*($A$2:$A$600&lt;&gt;"")*((IF($G$2:$G$600="",99999999,$G$2:$G$600))&lt;IF($G436="",99999999,$G436)))+SUMPRODUCT(($F$2:$F436="Not Started")*($A$2:$A436&lt;&gt;"")*((IF($G$2:$G436="",99999999,$G$2:$G436))=IF($G436="",99999999,$G436))),"")</f>
        <v/>
      </c>
      <c r="P436" s="0" t="str">
        <f aca="false">IF(AND(OR($F436="In Progress",$F436="Pending Client Data",$F436="Under Review"),$A436&lt;&gt;""),SUMPRODUCT((($F$2:$F$600="In Progress")+($F$2:$F$600="Pending Client Data")+($F$2:$F$600="Under Review"))*($A$2:$A$600&lt;&gt;"")*((IF($G$2:$G$600="",99999999,$G$2:$G$600))&lt;IF($G436="",99999999,$G436)))+SUMPRODUCT((($F$2:$F436="In Progress")+($F$2:$F436="Pending Client Data")+($F$2:$F436="Under Review"))*($A$2:$A436&lt;&gt;"")*((IF($G$2:$G436="",99999999,$G$2:$G436))=IF($G436="",99999999,$G436))),"")</f>
        <v/>
      </c>
    </row>
    <row r="437" customFormat="false" ht="15" hidden="false" customHeight="false" outlineLevel="0" collapsed="false">
      <c r="A437" s="9"/>
      <c r="B437" s="9"/>
      <c r="C437" s="10" t="str">
        <f aca="false">IF($B437="","",IFERROR(INDEX('Client Master'!$C:$C,MATCH($B437,'Client Master'!$B:$B,0)),"Code not found"))</f>
        <v/>
      </c>
      <c r="D437" s="9"/>
      <c r="E437" s="9"/>
      <c r="F437" s="9"/>
      <c r="G437" s="11"/>
      <c r="H437" s="11"/>
      <c r="I437" s="9"/>
      <c r="J437" s="12"/>
      <c r="K437" s="11"/>
      <c r="L437" s="9"/>
      <c r="N437" s="0" t="str">
        <f aca="false">IF(AND($J437&gt;0,$K437="",$A437&lt;&gt;""),SUMPRODUCT(($J$2:$J$600&gt;0)*($K$2:$K$600="")*($A$2:$A$600&lt;&gt;"")*((IF($G$2:$G$600="",99999999,$G$2:$G$600))&lt;IF($G437="",99999999,$G437)))+SUMPRODUCT(($J$2:$J437&gt;0)*($K$2:$K437="")*($A$2:$A437&lt;&gt;"")*((IF($G$2:$G437="",99999999,$G$2:$G437))=IF($G437="",99999999,$G437))),"")</f>
        <v/>
      </c>
      <c r="O437" s="0" t="str">
        <f aca="false">IF(AND($F437="Not Started",$A437&lt;&gt;""),SUMPRODUCT(($F$2:$F$600="Not Started")*($A$2:$A$600&lt;&gt;"")*((IF($G$2:$G$600="",99999999,$G$2:$G$600))&lt;IF($G437="",99999999,$G437)))+SUMPRODUCT(($F$2:$F437="Not Started")*($A$2:$A437&lt;&gt;"")*((IF($G$2:$G437="",99999999,$G$2:$G437))=IF($G437="",99999999,$G437))),"")</f>
        <v/>
      </c>
      <c r="P437" s="0" t="str">
        <f aca="false">IF(AND(OR($F437="In Progress",$F437="Pending Client Data",$F437="Under Review"),$A437&lt;&gt;""),SUMPRODUCT((($F$2:$F$600="In Progress")+($F$2:$F$600="Pending Client Data")+($F$2:$F$600="Under Review"))*($A$2:$A$600&lt;&gt;"")*((IF($G$2:$G$600="",99999999,$G$2:$G$600))&lt;IF($G437="",99999999,$G437)))+SUMPRODUCT((($F$2:$F437="In Progress")+($F$2:$F437="Pending Client Data")+($F$2:$F437="Under Review"))*($A$2:$A437&lt;&gt;"")*((IF($G$2:$G437="",99999999,$G$2:$G437))=IF($G437="",99999999,$G437))),"")</f>
        <v/>
      </c>
    </row>
    <row r="438" customFormat="false" ht="15" hidden="false" customHeight="false" outlineLevel="0" collapsed="false">
      <c r="A438" s="9"/>
      <c r="B438" s="9"/>
      <c r="C438" s="10" t="str">
        <f aca="false">IF($B438="","",IFERROR(INDEX('Client Master'!$C:$C,MATCH($B438,'Client Master'!$B:$B,0)),"Code not found"))</f>
        <v/>
      </c>
      <c r="D438" s="9"/>
      <c r="E438" s="9"/>
      <c r="F438" s="9"/>
      <c r="G438" s="11"/>
      <c r="H438" s="11"/>
      <c r="I438" s="9"/>
      <c r="J438" s="12"/>
      <c r="K438" s="11"/>
      <c r="L438" s="9"/>
      <c r="N438" s="0" t="str">
        <f aca="false">IF(AND($J438&gt;0,$K438="",$A438&lt;&gt;""),SUMPRODUCT(($J$2:$J$600&gt;0)*($K$2:$K$600="")*($A$2:$A$600&lt;&gt;"")*((IF($G$2:$G$600="",99999999,$G$2:$G$600))&lt;IF($G438="",99999999,$G438)))+SUMPRODUCT(($J$2:$J438&gt;0)*($K$2:$K438="")*($A$2:$A438&lt;&gt;"")*((IF($G$2:$G438="",99999999,$G$2:$G438))=IF($G438="",99999999,$G438))),"")</f>
        <v/>
      </c>
      <c r="O438" s="0" t="str">
        <f aca="false">IF(AND($F438="Not Started",$A438&lt;&gt;""),SUMPRODUCT(($F$2:$F$600="Not Started")*($A$2:$A$600&lt;&gt;"")*((IF($G$2:$G$600="",99999999,$G$2:$G$600))&lt;IF($G438="",99999999,$G438)))+SUMPRODUCT(($F$2:$F438="Not Started")*($A$2:$A438&lt;&gt;"")*((IF($G$2:$G438="",99999999,$G$2:$G438))=IF($G438="",99999999,$G438))),"")</f>
        <v/>
      </c>
      <c r="P438" s="0" t="str">
        <f aca="false">IF(AND(OR($F438="In Progress",$F438="Pending Client Data",$F438="Under Review"),$A438&lt;&gt;""),SUMPRODUCT((($F$2:$F$600="In Progress")+($F$2:$F$600="Pending Client Data")+($F$2:$F$600="Under Review"))*($A$2:$A$600&lt;&gt;"")*((IF($G$2:$G$600="",99999999,$G$2:$G$600))&lt;IF($G438="",99999999,$G438)))+SUMPRODUCT((($F$2:$F438="In Progress")+($F$2:$F438="Pending Client Data")+($F$2:$F438="Under Review"))*($A$2:$A438&lt;&gt;"")*((IF($G$2:$G438="",99999999,$G$2:$G438))=IF($G438="",99999999,$G438))),"")</f>
        <v/>
      </c>
    </row>
    <row r="439" customFormat="false" ht="15" hidden="false" customHeight="false" outlineLevel="0" collapsed="false">
      <c r="A439" s="9"/>
      <c r="B439" s="9"/>
      <c r="C439" s="10" t="str">
        <f aca="false">IF($B439="","",IFERROR(INDEX('Client Master'!$C:$C,MATCH($B439,'Client Master'!$B:$B,0)),"Code not found"))</f>
        <v/>
      </c>
      <c r="D439" s="9"/>
      <c r="E439" s="9"/>
      <c r="F439" s="9"/>
      <c r="G439" s="11"/>
      <c r="H439" s="11"/>
      <c r="I439" s="9"/>
      <c r="J439" s="12"/>
      <c r="K439" s="11"/>
      <c r="L439" s="9"/>
      <c r="N439" s="0" t="str">
        <f aca="false">IF(AND($J439&gt;0,$K439="",$A439&lt;&gt;""),SUMPRODUCT(($J$2:$J$600&gt;0)*($K$2:$K$600="")*($A$2:$A$600&lt;&gt;"")*((IF($G$2:$G$600="",99999999,$G$2:$G$600))&lt;IF($G439="",99999999,$G439)))+SUMPRODUCT(($J$2:$J439&gt;0)*($K$2:$K439="")*($A$2:$A439&lt;&gt;"")*((IF($G$2:$G439="",99999999,$G$2:$G439))=IF($G439="",99999999,$G439))),"")</f>
        <v/>
      </c>
      <c r="O439" s="0" t="str">
        <f aca="false">IF(AND($F439="Not Started",$A439&lt;&gt;""),SUMPRODUCT(($F$2:$F$600="Not Started")*($A$2:$A$600&lt;&gt;"")*((IF($G$2:$G$600="",99999999,$G$2:$G$600))&lt;IF($G439="",99999999,$G439)))+SUMPRODUCT(($F$2:$F439="Not Started")*($A$2:$A439&lt;&gt;"")*((IF($G$2:$G439="",99999999,$G$2:$G439))=IF($G439="",99999999,$G439))),"")</f>
        <v/>
      </c>
      <c r="P439" s="0" t="str">
        <f aca="false">IF(AND(OR($F439="In Progress",$F439="Pending Client Data",$F439="Under Review"),$A439&lt;&gt;""),SUMPRODUCT((($F$2:$F$600="In Progress")+($F$2:$F$600="Pending Client Data")+($F$2:$F$600="Under Review"))*($A$2:$A$600&lt;&gt;"")*((IF($G$2:$G$600="",99999999,$G$2:$G$600))&lt;IF($G439="",99999999,$G439)))+SUMPRODUCT((($F$2:$F439="In Progress")+($F$2:$F439="Pending Client Data")+($F$2:$F439="Under Review"))*($A$2:$A439&lt;&gt;"")*((IF($G$2:$G439="",99999999,$G$2:$G439))=IF($G439="",99999999,$G439))),"")</f>
        <v/>
      </c>
    </row>
    <row r="440" customFormat="false" ht="15" hidden="false" customHeight="false" outlineLevel="0" collapsed="false">
      <c r="A440" s="9"/>
      <c r="B440" s="9"/>
      <c r="C440" s="10" t="str">
        <f aca="false">IF($B440="","",IFERROR(INDEX('Client Master'!$C:$C,MATCH($B440,'Client Master'!$B:$B,0)),"Code not found"))</f>
        <v/>
      </c>
      <c r="D440" s="9"/>
      <c r="E440" s="9"/>
      <c r="F440" s="9"/>
      <c r="G440" s="11"/>
      <c r="H440" s="11"/>
      <c r="I440" s="9"/>
      <c r="J440" s="12"/>
      <c r="K440" s="11"/>
      <c r="L440" s="9"/>
      <c r="N440" s="0" t="str">
        <f aca="false">IF(AND($J440&gt;0,$K440="",$A440&lt;&gt;""),SUMPRODUCT(($J$2:$J$600&gt;0)*($K$2:$K$600="")*($A$2:$A$600&lt;&gt;"")*((IF($G$2:$G$600="",99999999,$G$2:$G$600))&lt;IF($G440="",99999999,$G440)))+SUMPRODUCT(($J$2:$J440&gt;0)*($K$2:$K440="")*($A$2:$A440&lt;&gt;"")*((IF($G$2:$G440="",99999999,$G$2:$G440))=IF($G440="",99999999,$G440))),"")</f>
        <v/>
      </c>
      <c r="O440" s="0" t="str">
        <f aca="false">IF(AND($F440="Not Started",$A440&lt;&gt;""),SUMPRODUCT(($F$2:$F$600="Not Started")*($A$2:$A$600&lt;&gt;"")*((IF($G$2:$G$600="",99999999,$G$2:$G$600))&lt;IF($G440="",99999999,$G440)))+SUMPRODUCT(($F$2:$F440="Not Started")*($A$2:$A440&lt;&gt;"")*((IF($G$2:$G440="",99999999,$G$2:$G440))=IF($G440="",99999999,$G440))),"")</f>
        <v/>
      </c>
      <c r="P440" s="0" t="str">
        <f aca="false">IF(AND(OR($F440="In Progress",$F440="Pending Client Data",$F440="Under Review"),$A440&lt;&gt;""),SUMPRODUCT((($F$2:$F$600="In Progress")+($F$2:$F$600="Pending Client Data")+($F$2:$F$600="Under Review"))*($A$2:$A$600&lt;&gt;"")*((IF($G$2:$G$600="",99999999,$G$2:$G$600))&lt;IF($G440="",99999999,$G440)))+SUMPRODUCT((($F$2:$F440="In Progress")+($F$2:$F440="Pending Client Data")+($F$2:$F440="Under Review"))*($A$2:$A440&lt;&gt;"")*((IF($G$2:$G440="",99999999,$G$2:$G440))=IF($G440="",99999999,$G440))),"")</f>
        <v/>
      </c>
    </row>
    <row r="441" customFormat="false" ht="15" hidden="false" customHeight="false" outlineLevel="0" collapsed="false">
      <c r="A441" s="9"/>
      <c r="B441" s="9"/>
      <c r="C441" s="10" t="str">
        <f aca="false">IF($B441="","",IFERROR(INDEX('Client Master'!$C:$C,MATCH($B441,'Client Master'!$B:$B,0)),"Code not found"))</f>
        <v/>
      </c>
      <c r="D441" s="9"/>
      <c r="E441" s="9"/>
      <c r="F441" s="9"/>
      <c r="G441" s="11"/>
      <c r="H441" s="11"/>
      <c r="I441" s="9"/>
      <c r="J441" s="12"/>
      <c r="K441" s="11"/>
      <c r="L441" s="9"/>
      <c r="N441" s="0" t="str">
        <f aca="false">IF(AND($J441&gt;0,$K441="",$A441&lt;&gt;""),SUMPRODUCT(($J$2:$J$600&gt;0)*($K$2:$K$600="")*($A$2:$A$600&lt;&gt;"")*((IF($G$2:$G$600="",99999999,$G$2:$G$600))&lt;IF($G441="",99999999,$G441)))+SUMPRODUCT(($J$2:$J441&gt;0)*($K$2:$K441="")*($A$2:$A441&lt;&gt;"")*((IF($G$2:$G441="",99999999,$G$2:$G441))=IF($G441="",99999999,$G441))),"")</f>
        <v/>
      </c>
      <c r="O441" s="0" t="str">
        <f aca="false">IF(AND($F441="Not Started",$A441&lt;&gt;""),SUMPRODUCT(($F$2:$F$600="Not Started")*($A$2:$A$600&lt;&gt;"")*((IF($G$2:$G$600="",99999999,$G$2:$G$600))&lt;IF($G441="",99999999,$G441)))+SUMPRODUCT(($F$2:$F441="Not Started")*($A$2:$A441&lt;&gt;"")*((IF($G$2:$G441="",99999999,$G$2:$G441))=IF($G441="",99999999,$G441))),"")</f>
        <v/>
      </c>
      <c r="P441" s="0" t="str">
        <f aca="false">IF(AND(OR($F441="In Progress",$F441="Pending Client Data",$F441="Under Review"),$A441&lt;&gt;""),SUMPRODUCT((($F$2:$F$600="In Progress")+($F$2:$F$600="Pending Client Data")+($F$2:$F$600="Under Review"))*($A$2:$A$600&lt;&gt;"")*((IF($G$2:$G$600="",99999999,$G$2:$G$600))&lt;IF($G441="",99999999,$G441)))+SUMPRODUCT((($F$2:$F441="In Progress")+($F$2:$F441="Pending Client Data")+($F$2:$F441="Under Review"))*($A$2:$A441&lt;&gt;"")*((IF($G$2:$G441="",99999999,$G$2:$G441))=IF($G441="",99999999,$G441))),"")</f>
        <v/>
      </c>
    </row>
    <row r="442" customFormat="false" ht="15" hidden="false" customHeight="false" outlineLevel="0" collapsed="false">
      <c r="A442" s="9"/>
      <c r="B442" s="9"/>
      <c r="C442" s="10" t="str">
        <f aca="false">IF($B442="","",IFERROR(INDEX('Client Master'!$C:$C,MATCH($B442,'Client Master'!$B:$B,0)),"Code not found"))</f>
        <v/>
      </c>
      <c r="D442" s="9"/>
      <c r="E442" s="9"/>
      <c r="F442" s="9"/>
      <c r="G442" s="11"/>
      <c r="H442" s="11"/>
      <c r="I442" s="9"/>
      <c r="J442" s="12"/>
      <c r="K442" s="11"/>
      <c r="L442" s="9"/>
      <c r="N442" s="0" t="str">
        <f aca="false">IF(AND($J442&gt;0,$K442="",$A442&lt;&gt;""),SUMPRODUCT(($J$2:$J$600&gt;0)*($K$2:$K$600="")*($A$2:$A$600&lt;&gt;"")*((IF($G$2:$G$600="",99999999,$G$2:$G$600))&lt;IF($G442="",99999999,$G442)))+SUMPRODUCT(($J$2:$J442&gt;0)*($K$2:$K442="")*($A$2:$A442&lt;&gt;"")*((IF($G$2:$G442="",99999999,$G$2:$G442))=IF($G442="",99999999,$G442))),"")</f>
        <v/>
      </c>
      <c r="O442" s="0" t="str">
        <f aca="false">IF(AND($F442="Not Started",$A442&lt;&gt;""),SUMPRODUCT(($F$2:$F$600="Not Started")*($A$2:$A$600&lt;&gt;"")*((IF($G$2:$G$600="",99999999,$G$2:$G$600))&lt;IF($G442="",99999999,$G442)))+SUMPRODUCT(($F$2:$F442="Not Started")*($A$2:$A442&lt;&gt;"")*((IF($G$2:$G442="",99999999,$G$2:$G442))=IF($G442="",99999999,$G442))),"")</f>
        <v/>
      </c>
      <c r="P442" s="0" t="str">
        <f aca="false">IF(AND(OR($F442="In Progress",$F442="Pending Client Data",$F442="Under Review"),$A442&lt;&gt;""),SUMPRODUCT((($F$2:$F$600="In Progress")+($F$2:$F$600="Pending Client Data")+($F$2:$F$600="Under Review"))*($A$2:$A$600&lt;&gt;"")*((IF($G$2:$G$600="",99999999,$G$2:$G$600))&lt;IF($G442="",99999999,$G442)))+SUMPRODUCT((($F$2:$F442="In Progress")+($F$2:$F442="Pending Client Data")+($F$2:$F442="Under Review"))*($A$2:$A442&lt;&gt;"")*((IF($G$2:$G442="",99999999,$G$2:$G442))=IF($G442="",99999999,$G442))),"")</f>
        <v/>
      </c>
    </row>
    <row r="443" customFormat="false" ht="15" hidden="false" customHeight="false" outlineLevel="0" collapsed="false">
      <c r="A443" s="9"/>
      <c r="B443" s="9"/>
      <c r="C443" s="10" t="str">
        <f aca="false">IF($B443="","",IFERROR(INDEX('Client Master'!$C:$C,MATCH($B443,'Client Master'!$B:$B,0)),"Code not found"))</f>
        <v/>
      </c>
      <c r="D443" s="9"/>
      <c r="E443" s="9"/>
      <c r="F443" s="9"/>
      <c r="G443" s="11"/>
      <c r="H443" s="11"/>
      <c r="I443" s="9"/>
      <c r="J443" s="12"/>
      <c r="K443" s="11"/>
      <c r="L443" s="9"/>
      <c r="N443" s="0" t="str">
        <f aca="false">IF(AND($J443&gt;0,$K443="",$A443&lt;&gt;""),SUMPRODUCT(($J$2:$J$600&gt;0)*($K$2:$K$600="")*($A$2:$A$600&lt;&gt;"")*((IF($G$2:$G$600="",99999999,$G$2:$G$600))&lt;IF($G443="",99999999,$G443)))+SUMPRODUCT(($J$2:$J443&gt;0)*($K$2:$K443="")*($A$2:$A443&lt;&gt;"")*((IF($G$2:$G443="",99999999,$G$2:$G443))=IF($G443="",99999999,$G443))),"")</f>
        <v/>
      </c>
      <c r="O443" s="0" t="str">
        <f aca="false">IF(AND($F443="Not Started",$A443&lt;&gt;""),SUMPRODUCT(($F$2:$F$600="Not Started")*($A$2:$A$600&lt;&gt;"")*((IF($G$2:$G$600="",99999999,$G$2:$G$600))&lt;IF($G443="",99999999,$G443)))+SUMPRODUCT(($F$2:$F443="Not Started")*($A$2:$A443&lt;&gt;"")*((IF($G$2:$G443="",99999999,$G$2:$G443))=IF($G443="",99999999,$G443))),"")</f>
        <v/>
      </c>
      <c r="P443" s="0" t="str">
        <f aca="false">IF(AND(OR($F443="In Progress",$F443="Pending Client Data",$F443="Under Review"),$A443&lt;&gt;""),SUMPRODUCT((($F$2:$F$600="In Progress")+($F$2:$F$600="Pending Client Data")+($F$2:$F$600="Under Review"))*($A$2:$A$600&lt;&gt;"")*((IF($G$2:$G$600="",99999999,$G$2:$G$600))&lt;IF($G443="",99999999,$G443)))+SUMPRODUCT((($F$2:$F443="In Progress")+($F$2:$F443="Pending Client Data")+($F$2:$F443="Under Review"))*($A$2:$A443&lt;&gt;"")*((IF($G$2:$G443="",99999999,$G$2:$G443))=IF($G443="",99999999,$G443))),"")</f>
        <v/>
      </c>
    </row>
    <row r="444" customFormat="false" ht="15" hidden="false" customHeight="false" outlineLevel="0" collapsed="false">
      <c r="A444" s="9"/>
      <c r="B444" s="9"/>
      <c r="C444" s="10" t="str">
        <f aca="false">IF($B444="","",IFERROR(INDEX('Client Master'!$C:$C,MATCH($B444,'Client Master'!$B:$B,0)),"Code not found"))</f>
        <v/>
      </c>
      <c r="D444" s="9"/>
      <c r="E444" s="9"/>
      <c r="F444" s="9"/>
      <c r="G444" s="11"/>
      <c r="H444" s="11"/>
      <c r="I444" s="9"/>
      <c r="J444" s="12"/>
      <c r="K444" s="11"/>
      <c r="L444" s="9"/>
      <c r="N444" s="0" t="str">
        <f aca="false">IF(AND($J444&gt;0,$K444="",$A444&lt;&gt;""),SUMPRODUCT(($J$2:$J$600&gt;0)*($K$2:$K$600="")*($A$2:$A$600&lt;&gt;"")*((IF($G$2:$G$600="",99999999,$G$2:$G$600))&lt;IF($G444="",99999999,$G444)))+SUMPRODUCT(($J$2:$J444&gt;0)*($K$2:$K444="")*($A$2:$A444&lt;&gt;"")*((IF($G$2:$G444="",99999999,$G$2:$G444))=IF($G444="",99999999,$G444))),"")</f>
        <v/>
      </c>
      <c r="O444" s="0" t="str">
        <f aca="false">IF(AND($F444="Not Started",$A444&lt;&gt;""),SUMPRODUCT(($F$2:$F$600="Not Started")*($A$2:$A$600&lt;&gt;"")*((IF($G$2:$G$600="",99999999,$G$2:$G$600))&lt;IF($G444="",99999999,$G444)))+SUMPRODUCT(($F$2:$F444="Not Started")*($A$2:$A444&lt;&gt;"")*((IF($G$2:$G444="",99999999,$G$2:$G444))=IF($G444="",99999999,$G444))),"")</f>
        <v/>
      </c>
      <c r="P444" s="0" t="str">
        <f aca="false">IF(AND(OR($F444="In Progress",$F444="Pending Client Data",$F444="Under Review"),$A444&lt;&gt;""),SUMPRODUCT((($F$2:$F$600="In Progress")+($F$2:$F$600="Pending Client Data")+($F$2:$F$600="Under Review"))*($A$2:$A$600&lt;&gt;"")*((IF($G$2:$G$600="",99999999,$G$2:$G$600))&lt;IF($G444="",99999999,$G444)))+SUMPRODUCT((($F$2:$F444="In Progress")+($F$2:$F444="Pending Client Data")+($F$2:$F444="Under Review"))*($A$2:$A444&lt;&gt;"")*((IF($G$2:$G444="",99999999,$G$2:$G444))=IF($G444="",99999999,$G444))),"")</f>
        <v/>
      </c>
    </row>
    <row r="445" customFormat="false" ht="15" hidden="false" customHeight="false" outlineLevel="0" collapsed="false">
      <c r="A445" s="9"/>
      <c r="B445" s="9"/>
      <c r="C445" s="10" t="str">
        <f aca="false">IF($B445="","",IFERROR(INDEX('Client Master'!$C:$C,MATCH($B445,'Client Master'!$B:$B,0)),"Code not found"))</f>
        <v/>
      </c>
      <c r="D445" s="9"/>
      <c r="E445" s="9"/>
      <c r="F445" s="9"/>
      <c r="G445" s="11"/>
      <c r="H445" s="11"/>
      <c r="I445" s="9"/>
      <c r="J445" s="12"/>
      <c r="K445" s="11"/>
      <c r="L445" s="9"/>
      <c r="N445" s="0" t="str">
        <f aca="false">IF(AND($J445&gt;0,$K445="",$A445&lt;&gt;""),SUMPRODUCT(($J$2:$J$600&gt;0)*($K$2:$K$600="")*($A$2:$A$600&lt;&gt;"")*((IF($G$2:$G$600="",99999999,$G$2:$G$600))&lt;IF($G445="",99999999,$G445)))+SUMPRODUCT(($J$2:$J445&gt;0)*($K$2:$K445="")*($A$2:$A445&lt;&gt;"")*((IF($G$2:$G445="",99999999,$G$2:$G445))=IF($G445="",99999999,$G445))),"")</f>
        <v/>
      </c>
      <c r="O445" s="0" t="str">
        <f aca="false">IF(AND($F445="Not Started",$A445&lt;&gt;""),SUMPRODUCT(($F$2:$F$600="Not Started")*($A$2:$A$600&lt;&gt;"")*((IF($G$2:$G$600="",99999999,$G$2:$G$600))&lt;IF($G445="",99999999,$G445)))+SUMPRODUCT(($F$2:$F445="Not Started")*($A$2:$A445&lt;&gt;"")*((IF($G$2:$G445="",99999999,$G$2:$G445))=IF($G445="",99999999,$G445))),"")</f>
        <v/>
      </c>
      <c r="P445" s="0" t="str">
        <f aca="false">IF(AND(OR($F445="In Progress",$F445="Pending Client Data",$F445="Under Review"),$A445&lt;&gt;""),SUMPRODUCT((($F$2:$F$600="In Progress")+($F$2:$F$600="Pending Client Data")+($F$2:$F$600="Under Review"))*($A$2:$A$600&lt;&gt;"")*((IF($G$2:$G$600="",99999999,$G$2:$G$600))&lt;IF($G445="",99999999,$G445)))+SUMPRODUCT((($F$2:$F445="In Progress")+($F$2:$F445="Pending Client Data")+($F$2:$F445="Under Review"))*($A$2:$A445&lt;&gt;"")*((IF($G$2:$G445="",99999999,$G$2:$G445))=IF($G445="",99999999,$G445))),"")</f>
        <v/>
      </c>
    </row>
    <row r="446" customFormat="false" ht="15" hidden="false" customHeight="false" outlineLevel="0" collapsed="false">
      <c r="A446" s="9"/>
      <c r="B446" s="9"/>
      <c r="C446" s="10" t="str">
        <f aca="false">IF($B446="","",IFERROR(INDEX('Client Master'!$C:$C,MATCH($B446,'Client Master'!$B:$B,0)),"Code not found"))</f>
        <v/>
      </c>
      <c r="D446" s="9"/>
      <c r="E446" s="9"/>
      <c r="F446" s="9"/>
      <c r="G446" s="11"/>
      <c r="H446" s="11"/>
      <c r="I446" s="9"/>
      <c r="J446" s="12"/>
      <c r="K446" s="11"/>
      <c r="L446" s="9"/>
      <c r="N446" s="0" t="str">
        <f aca="false">IF(AND($J446&gt;0,$K446="",$A446&lt;&gt;""),SUMPRODUCT(($J$2:$J$600&gt;0)*($K$2:$K$600="")*($A$2:$A$600&lt;&gt;"")*((IF($G$2:$G$600="",99999999,$G$2:$G$600))&lt;IF($G446="",99999999,$G446)))+SUMPRODUCT(($J$2:$J446&gt;0)*($K$2:$K446="")*($A$2:$A446&lt;&gt;"")*((IF($G$2:$G446="",99999999,$G$2:$G446))=IF($G446="",99999999,$G446))),"")</f>
        <v/>
      </c>
      <c r="O446" s="0" t="str">
        <f aca="false">IF(AND($F446="Not Started",$A446&lt;&gt;""),SUMPRODUCT(($F$2:$F$600="Not Started")*($A$2:$A$600&lt;&gt;"")*((IF($G$2:$G$600="",99999999,$G$2:$G$600))&lt;IF($G446="",99999999,$G446)))+SUMPRODUCT(($F$2:$F446="Not Started")*($A$2:$A446&lt;&gt;"")*((IF($G$2:$G446="",99999999,$G$2:$G446))=IF($G446="",99999999,$G446))),"")</f>
        <v/>
      </c>
      <c r="P446" s="0" t="str">
        <f aca="false">IF(AND(OR($F446="In Progress",$F446="Pending Client Data",$F446="Under Review"),$A446&lt;&gt;""),SUMPRODUCT((($F$2:$F$600="In Progress")+($F$2:$F$600="Pending Client Data")+($F$2:$F$600="Under Review"))*($A$2:$A$600&lt;&gt;"")*((IF($G$2:$G$600="",99999999,$G$2:$G$600))&lt;IF($G446="",99999999,$G446)))+SUMPRODUCT((($F$2:$F446="In Progress")+($F$2:$F446="Pending Client Data")+($F$2:$F446="Under Review"))*($A$2:$A446&lt;&gt;"")*((IF($G$2:$G446="",99999999,$G$2:$G446))=IF($G446="",99999999,$G446))),"")</f>
        <v/>
      </c>
    </row>
    <row r="447" customFormat="false" ht="15" hidden="false" customHeight="false" outlineLevel="0" collapsed="false">
      <c r="A447" s="9"/>
      <c r="B447" s="9"/>
      <c r="C447" s="10" t="str">
        <f aca="false">IF($B447="","",IFERROR(INDEX('Client Master'!$C:$C,MATCH($B447,'Client Master'!$B:$B,0)),"Code not found"))</f>
        <v/>
      </c>
      <c r="D447" s="9"/>
      <c r="E447" s="9"/>
      <c r="F447" s="9"/>
      <c r="G447" s="11"/>
      <c r="H447" s="11"/>
      <c r="I447" s="9"/>
      <c r="J447" s="12"/>
      <c r="K447" s="11"/>
      <c r="L447" s="9"/>
      <c r="N447" s="0" t="str">
        <f aca="false">IF(AND($J447&gt;0,$K447="",$A447&lt;&gt;""),SUMPRODUCT(($J$2:$J$600&gt;0)*($K$2:$K$600="")*($A$2:$A$600&lt;&gt;"")*((IF($G$2:$G$600="",99999999,$G$2:$G$600))&lt;IF($G447="",99999999,$G447)))+SUMPRODUCT(($J$2:$J447&gt;0)*($K$2:$K447="")*($A$2:$A447&lt;&gt;"")*((IF($G$2:$G447="",99999999,$G$2:$G447))=IF($G447="",99999999,$G447))),"")</f>
        <v/>
      </c>
      <c r="O447" s="0" t="str">
        <f aca="false">IF(AND($F447="Not Started",$A447&lt;&gt;""),SUMPRODUCT(($F$2:$F$600="Not Started")*($A$2:$A$600&lt;&gt;"")*((IF($G$2:$G$600="",99999999,$G$2:$G$600))&lt;IF($G447="",99999999,$G447)))+SUMPRODUCT(($F$2:$F447="Not Started")*($A$2:$A447&lt;&gt;"")*((IF($G$2:$G447="",99999999,$G$2:$G447))=IF($G447="",99999999,$G447))),"")</f>
        <v/>
      </c>
      <c r="P447" s="0" t="str">
        <f aca="false">IF(AND(OR($F447="In Progress",$F447="Pending Client Data",$F447="Under Review"),$A447&lt;&gt;""),SUMPRODUCT((($F$2:$F$600="In Progress")+($F$2:$F$600="Pending Client Data")+($F$2:$F$600="Under Review"))*($A$2:$A$600&lt;&gt;"")*((IF($G$2:$G$600="",99999999,$G$2:$G$600))&lt;IF($G447="",99999999,$G447)))+SUMPRODUCT((($F$2:$F447="In Progress")+($F$2:$F447="Pending Client Data")+($F$2:$F447="Under Review"))*($A$2:$A447&lt;&gt;"")*((IF($G$2:$G447="",99999999,$G$2:$G447))=IF($G447="",99999999,$G447))),"")</f>
        <v/>
      </c>
    </row>
    <row r="448" customFormat="false" ht="15" hidden="false" customHeight="false" outlineLevel="0" collapsed="false">
      <c r="A448" s="9"/>
      <c r="B448" s="9"/>
      <c r="C448" s="10" t="str">
        <f aca="false">IF($B448="","",IFERROR(INDEX('Client Master'!$C:$C,MATCH($B448,'Client Master'!$B:$B,0)),"Code not found"))</f>
        <v/>
      </c>
      <c r="D448" s="9"/>
      <c r="E448" s="9"/>
      <c r="F448" s="9"/>
      <c r="G448" s="11"/>
      <c r="H448" s="11"/>
      <c r="I448" s="9"/>
      <c r="J448" s="12"/>
      <c r="K448" s="11"/>
      <c r="L448" s="9"/>
      <c r="N448" s="0" t="str">
        <f aca="false">IF(AND($J448&gt;0,$K448="",$A448&lt;&gt;""),SUMPRODUCT(($J$2:$J$600&gt;0)*($K$2:$K$600="")*($A$2:$A$600&lt;&gt;"")*((IF($G$2:$G$600="",99999999,$G$2:$G$600))&lt;IF($G448="",99999999,$G448)))+SUMPRODUCT(($J$2:$J448&gt;0)*($K$2:$K448="")*($A$2:$A448&lt;&gt;"")*((IF($G$2:$G448="",99999999,$G$2:$G448))=IF($G448="",99999999,$G448))),"")</f>
        <v/>
      </c>
      <c r="O448" s="0" t="str">
        <f aca="false">IF(AND($F448="Not Started",$A448&lt;&gt;""),SUMPRODUCT(($F$2:$F$600="Not Started")*($A$2:$A$600&lt;&gt;"")*((IF($G$2:$G$600="",99999999,$G$2:$G$600))&lt;IF($G448="",99999999,$G448)))+SUMPRODUCT(($F$2:$F448="Not Started")*($A$2:$A448&lt;&gt;"")*((IF($G$2:$G448="",99999999,$G$2:$G448))=IF($G448="",99999999,$G448))),"")</f>
        <v/>
      </c>
      <c r="P448" s="0" t="str">
        <f aca="false">IF(AND(OR($F448="In Progress",$F448="Pending Client Data",$F448="Under Review"),$A448&lt;&gt;""),SUMPRODUCT((($F$2:$F$600="In Progress")+($F$2:$F$600="Pending Client Data")+($F$2:$F$600="Under Review"))*($A$2:$A$600&lt;&gt;"")*((IF($G$2:$G$600="",99999999,$G$2:$G$600))&lt;IF($G448="",99999999,$G448)))+SUMPRODUCT((($F$2:$F448="In Progress")+($F$2:$F448="Pending Client Data")+($F$2:$F448="Under Review"))*($A$2:$A448&lt;&gt;"")*((IF($G$2:$G448="",99999999,$G$2:$G448))=IF($G448="",99999999,$G448))),"")</f>
        <v/>
      </c>
    </row>
    <row r="449" customFormat="false" ht="15" hidden="false" customHeight="false" outlineLevel="0" collapsed="false">
      <c r="A449" s="9"/>
      <c r="B449" s="9"/>
      <c r="C449" s="10" t="str">
        <f aca="false">IF($B449="","",IFERROR(INDEX('Client Master'!$C:$C,MATCH($B449,'Client Master'!$B:$B,0)),"Code not found"))</f>
        <v/>
      </c>
      <c r="D449" s="9"/>
      <c r="E449" s="9"/>
      <c r="F449" s="9"/>
      <c r="G449" s="11"/>
      <c r="H449" s="11"/>
      <c r="I449" s="9"/>
      <c r="J449" s="12"/>
      <c r="K449" s="11"/>
      <c r="L449" s="9"/>
      <c r="N449" s="0" t="str">
        <f aca="false">IF(AND($J449&gt;0,$K449="",$A449&lt;&gt;""),SUMPRODUCT(($J$2:$J$600&gt;0)*($K$2:$K$600="")*($A$2:$A$600&lt;&gt;"")*((IF($G$2:$G$600="",99999999,$G$2:$G$600))&lt;IF($G449="",99999999,$G449)))+SUMPRODUCT(($J$2:$J449&gt;0)*($K$2:$K449="")*($A$2:$A449&lt;&gt;"")*((IF($G$2:$G449="",99999999,$G$2:$G449))=IF($G449="",99999999,$G449))),"")</f>
        <v/>
      </c>
      <c r="O449" s="0" t="str">
        <f aca="false">IF(AND($F449="Not Started",$A449&lt;&gt;""),SUMPRODUCT(($F$2:$F$600="Not Started")*($A$2:$A$600&lt;&gt;"")*((IF($G$2:$G$600="",99999999,$G$2:$G$600))&lt;IF($G449="",99999999,$G449)))+SUMPRODUCT(($F$2:$F449="Not Started")*($A$2:$A449&lt;&gt;"")*((IF($G$2:$G449="",99999999,$G$2:$G449))=IF($G449="",99999999,$G449))),"")</f>
        <v/>
      </c>
      <c r="P449" s="0" t="str">
        <f aca="false">IF(AND(OR($F449="In Progress",$F449="Pending Client Data",$F449="Under Review"),$A449&lt;&gt;""),SUMPRODUCT((($F$2:$F$600="In Progress")+($F$2:$F$600="Pending Client Data")+($F$2:$F$600="Under Review"))*($A$2:$A$600&lt;&gt;"")*((IF($G$2:$G$600="",99999999,$G$2:$G$600))&lt;IF($G449="",99999999,$G449)))+SUMPRODUCT((($F$2:$F449="In Progress")+($F$2:$F449="Pending Client Data")+($F$2:$F449="Under Review"))*($A$2:$A449&lt;&gt;"")*((IF($G$2:$G449="",99999999,$G$2:$G449))=IF($G449="",99999999,$G449))),"")</f>
        <v/>
      </c>
    </row>
    <row r="450" customFormat="false" ht="15" hidden="false" customHeight="false" outlineLevel="0" collapsed="false">
      <c r="A450" s="9"/>
      <c r="B450" s="9"/>
      <c r="C450" s="10" t="str">
        <f aca="false">IF($B450="","",IFERROR(INDEX('Client Master'!$C:$C,MATCH($B450,'Client Master'!$B:$B,0)),"Code not found"))</f>
        <v/>
      </c>
      <c r="D450" s="9"/>
      <c r="E450" s="9"/>
      <c r="F450" s="9"/>
      <c r="G450" s="11"/>
      <c r="H450" s="11"/>
      <c r="I450" s="9"/>
      <c r="J450" s="12"/>
      <c r="K450" s="11"/>
      <c r="L450" s="9"/>
      <c r="N450" s="0" t="str">
        <f aca="false">IF(AND($J450&gt;0,$K450="",$A450&lt;&gt;""),SUMPRODUCT(($J$2:$J$600&gt;0)*($K$2:$K$600="")*($A$2:$A$600&lt;&gt;"")*((IF($G$2:$G$600="",99999999,$G$2:$G$600))&lt;IF($G450="",99999999,$G450)))+SUMPRODUCT(($J$2:$J450&gt;0)*($K$2:$K450="")*($A$2:$A450&lt;&gt;"")*((IF($G$2:$G450="",99999999,$G$2:$G450))=IF($G450="",99999999,$G450))),"")</f>
        <v/>
      </c>
      <c r="O450" s="0" t="str">
        <f aca="false">IF(AND($F450="Not Started",$A450&lt;&gt;""),SUMPRODUCT(($F$2:$F$600="Not Started")*($A$2:$A$600&lt;&gt;"")*((IF($G$2:$G$600="",99999999,$G$2:$G$600))&lt;IF($G450="",99999999,$G450)))+SUMPRODUCT(($F$2:$F450="Not Started")*($A$2:$A450&lt;&gt;"")*((IF($G$2:$G450="",99999999,$G$2:$G450))=IF($G450="",99999999,$G450))),"")</f>
        <v/>
      </c>
      <c r="P450" s="0" t="str">
        <f aca="false">IF(AND(OR($F450="In Progress",$F450="Pending Client Data",$F450="Under Review"),$A450&lt;&gt;""),SUMPRODUCT((($F$2:$F$600="In Progress")+($F$2:$F$600="Pending Client Data")+($F$2:$F$600="Under Review"))*($A$2:$A$600&lt;&gt;"")*((IF($G$2:$G$600="",99999999,$G$2:$G$600))&lt;IF($G450="",99999999,$G450)))+SUMPRODUCT((($F$2:$F450="In Progress")+($F$2:$F450="Pending Client Data")+($F$2:$F450="Under Review"))*($A$2:$A450&lt;&gt;"")*((IF($G$2:$G450="",99999999,$G$2:$G450))=IF($G450="",99999999,$G450))),"")</f>
        <v/>
      </c>
    </row>
    <row r="451" customFormat="false" ht="15" hidden="false" customHeight="false" outlineLevel="0" collapsed="false">
      <c r="A451" s="9"/>
      <c r="B451" s="9"/>
      <c r="C451" s="10" t="str">
        <f aca="false">IF($B451="","",IFERROR(INDEX('Client Master'!$C:$C,MATCH($B451,'Client Master'!$B:$B,0)),"Code not found"))</f>
        <v/>
      </c>
      <c r="D451" s="9"/>
      <c r="E451" s="9"/>
      <c r="F451" s="9"/>
      <c r="G451" s="11"/>
      <c r="H451" s="11"/>
      <c r="I451" s="9"/>
      <c r="J451" s="12"/>
      <c r="K451" s="11"/>
      <c r="L451" s="9"/>
      <c r="N451" s="0" t="str">
        <f aca="false">IF(AND($J451&gt;0,$K451="",$A451&lt;&gt;""),SUMPRODUCT(($J$2:$J$600&gt;0)*($K$2:$K$600="")*($A$2:$A$600&lt;&gt;"")*((IF($G$2:$G$600="",99999999,$G$2:$G$600))&lt;IF($G451="",99999999,$G451)))+SUMPRODUCT(($J$2:$J451&gt;0)*($K$2:$K451="")*($A$2:$A451&lt;&gt;"")*((IF($G$2:$G451="",99999999,$G$2:$G451))=IF($G451="",99999999,$G451))),"")</f>
        <v/>
      </c>
      <c r="O451" s="0" t="str">
        <f aca="false">IF(AND($F451="Not Started",$A451&lt;&gt;""),SUMPRODUCT(($F$2:$F$600="Not Started")*($A$2:$A$600&lt;&gt;"")*((IF($G$2:$G$600="",99999999,$G$2:$G$600))&lt;IF($G451="",99999999,$G451)))+SUMPRODUCT(($F$2:$F451="Not Started")*($A$2:$A451&lt;&gt;"")*((IF($G$2:$G451="",99999999,$G$2:$G451))=IF($G451="",99999999,$G451))),"")</f>
        <v/>
      </c>
      <c r="P451" s="0" t="str">
        <f aca="false">IF(AND(OR($F451="In Progress",$F451="Pending Client Data",$F451="Under Review"),$A451&lt;&gt;""),SUMPRODUCT((($F$2:$F$600="In Progress")+($F$2:$F$600="Pending Client Data")+($F$2:$F$600="Under Review"))*($A$2:$A$600&lt;&gt;"")*((IF($G$2:$G$600="",99999999,$G$2:$G$600))&lt;IF($G451="",99999999,$G451)))+SUMPRODUCT((($F$2:$F451="In Progress")+($F$2:$F451="Pending Client Data")+($F$2:$F451="Under Review"))*($A$2:$A451&lt;&gt;"")*((IF($G$2:$G451="",99999999,$G$2:$G451))=IF($G451="",99999999,$G451))),"")</f>
        <v/>
      </c>
    </row>
    <row r="452" customFormat="false" ht="15" hidden="false" customHeight="false" outlineLevel="0" collapsed="false">
      <c r="A452" s="9"/>
      <c r="B452" s="9"/>
      <c r="C452" s="10" t="str">
        <f aca="false">IF($B452="","",IFERROR(INDEX('Client Master'!$C:$C,MATCH($B452,'Client Master'!$B:$B,0)),"Code not found"))</f>
        <v/>
      </c>
      <c r="D452" s="9"/>
      <c r="E452" s="9"/>
      <c r="F452" s="9"/>
      <c r="G452" s="11"/>
      <c r="H452" s="11"/>
      <c r="I452" s="9"/>
      <c r="J452" s="12"/>
      <c r="K452" s="11"/>
      <c r="L452" s="9"/>
      <c r="N452" s="0" t="str">
        <f aca="false">IF(AND($J452&gt;0,$K452="",$A452&lt;&gt;""),SUMPRODUCT(($J$2:$J$600&gt;0)*($K$2:$K$600="")*($A$2:$A$600&lt;&gt;"")*((IF($G$2:$G$600="",99999999,$G$2:$G$600))&lt;IF($G452="",99999999,$G452)))+SUMPRODUCT(($J$2:$J452&gt;0)*($K$2:$K452="")*($A$2:$A452&lt;&gt;"")*((IF($G$2:$G452="",99999999,$G$2:$G452))=IF($G452="",99999999,$G452))),"")</f>
        <v/>
      </c>
      <c r="O452" s="0" t="str">
        <f aca="false">IF(AND($F452="Not Started",$A452&lt;&gt;""),SUMPRODUCT(($F$2:$F$600="Not Started")*($A$2:$A$600&lt;&gt;"")*((IF($G$2:$G$600="",99999999,$G$2:$G$600))&lt;IF($G452="",99999999,$G452)))+SUMPRODUCT(($F$2:$F452="Not Started")*($A$2:$A452&lt;&gt;"")*((IF($G$2:$G452="",99999999,$G$2:$G452))=IF($G452="",99999999,$G452))),"")</f>
        <v/>
      </c>
      <c r="P452" s="0" t="str">
        <f aca="false">IF(AND(OR($F452="In Progress",$F452="Pending Client Data",$F452="Under Review"),$A452&lt;&gt;""),SUMPRODUCT((($F$2:$F$600="In Progress")+($F$2:$F$600="Pending Client Data")+($F$2:$F$600="Under Review"))*($A$2:$A$600&lt;&gt;"")*((IF($G$2:$G$600="",99999999,$G$2:$G$600))&lt;IF($G452="",99999999,$G452)))+SUMPRODUCT((($F$2:$F452="In Progress")+($F$2:$F452="Pending Client Data")+($F$2:$F452="Under Review"))*($A$2:$A452&lt;&gt;"")*((IF($G$2:$G452="",99999999,$G$2:$G452))=IF($G452="",99999999,$G452))),"")</f>
        <v/>
      </c>
    </row>
    <row r="453" customFormat="false" ht="15" hidden="false" customHeight="false" outlineLevel="0" collapsed="false">
      <c r="A453" s="9"/>
      <c r="B453" s="9"/>
      <c r="C453" s="10" t="str">
        <f aca="false">IF($B453="","",IFERROR(INDEX('Client Master'!$C:$C,MATCH($B453,'Client Master'!$B:$B,0)),"Code not found"))</f>
        <v/>
      </c>
      <c r="D453" s="9"/>
      <c r="E453" s="9"/>
      <c r="F453" s="9"/>
      <c r="G453" s="11"/>
      <c r="H453" s="11"/>
      <c r="I453" s="9"/>
      <c r="J453" s="12"/>
      <c r="K453" s="11"/>
      <c r="L453" s="9"/>
      <c r="N453" s="0" t="str">
        <f aca="false">IF(AND($J453&gt;0,$K453="",$A453&lt;&gt;""),SUMPRODUCT(($J$2:$J$600&gt;0)*($K$2:$K$600="")*($A$2:$A$600&lt;&gt;"")*((IF($G$2:$G$600="",99999999,$G$2:$G$600))&lt;IF($G453="",99999999,$G453)))+SUMPRODUCT(($J$2:$J453&gt;0)*($K$2:$K453="")*($A$2:$A453&lt;&gt;"")*((IF($G$2:$G453="",99999999,$G$2:$G453))=IF($G453="",99999999,$G453))),"")</f>
        <v/>
      </c>
      <c r="O453" s="0" t="str">
        <f aca="false">IF(AND($F453="Not Started",$A453&lt;&gt;""),SUMPRODUCT(($F$2:$F$600="Not Started")*($A$2:$A$600&lt;&gt;"")*((IF($G$2:$G$600="",99999999,$G$2:$G$600))&lt;IF($G453="",99999999,$G453)))+SUMPRODUCT(($F$2:$F453="Not Started")*($A$2:$A453&lt;&gt;"")*((IF($G$2:$G453="",99999999,$G$2:$G453))=IF($G453="",99999999,$G453))),"")</f>
        <v/>
      </c>
      <c r="P453" s="0" t="str">
        <f aca="false">IF(AND(OR($F453="In Progress",$F453="Pending Client Data",$F453="Under Review"),$A453&lt;&gt;""),SUMPRODUCT((($F$2:$F$600="In Progress")+($F$2:$F$600="Pending Client Data")+($F$2:$F$600="Under Review"))*($A$2:$A$600&lt;&gt;"")*((IF($G$2:$G$600="",99999999,$G$2:$G$600))&lt;IF($G453="",99999999,$G453)))+SUMPRODUCT((($F$2:$F453="In Progress")+($F$2:$F453="Pending Client Data")+($F$2:$F453="Under Review"))*($A$2:$A453&lt;&gt;"")*((IF($G$2:$G453="",99999999,$G$2:$G453))=IF($G453="",99999999,$G453))),"")</f>
        <v/>
      </c>
    </row>
    <row r="454" customFormat="false" ht="15" hidden="false" customHeight="false" outlineLevel="0" collapsed="false">
      <c r="A454" s="9"/>
      <c r="B454" s="9"/>
      <c r="C454" s="10" t="str">
        <f aca="false">IF($B454="","",IFERROR(INDEX('Client Master'!$C:$C,MATCH($B454,'Client Master'!$B:$B,0)),"Code not found"))</f>
        <v/>
      </c>
      <c r="D454" s="9"/>
      <c r="E454" s="9"/>
      <c r="F454" s="9"/>
      <c r="G454" s="11"/>
      <c r="H454" s="11"/>
      <c r="I454" s="9"/>
      <c r="J454" s="12"/>
      <c r="K454" s="11"/>
      <c r="L454" s="9"/>
      <c r="N454" s="0" t="str">
        <f aca="false">IF(AND($J454&gt;0,$K454="",$A454&lt;&gt;""),SUMPRODUCT(($J$2:$J$600&gt;0)*($K$2:$K$600="")*($A$2:$A$600&lt;&gt;"")*((IF($G$2:$G$600="",99999999,$G$2:$G$600))&lt;IF($G454="",99999999,$G454)))+SUMPRODUCT(($J$2:$J454&gt;0)*($K$2:$K454="")*($A$2:$A454&lt;&gt;"")*((IF($G$2:$G454="",99999999,$G$2:$G454))=IF($G454="",99999999,$G454))),"")</f>
        <v/>
      </c>
      <c r="O454" s="0" t="str">
        <f aca="false">IF(AND($F454="Not Started",$A454&lt;&gt;""),SUMPRODUCT(($F$2:$F$600="Not Started")*($A$2:$A$600&lt;&gt;"")*((IF($G$2:$G$600="",99999999,$G$2:$G$600))&lt;IF($G454="",99999999,$G454)))+SUMPRODUCT(($F$2:$F454="Not Started")*($A$2:$A454&lt;&gt;"")*((IF($G$2:$G454="",99999999,$G$2:$G454))=IF($G454="",99999999,$G454))),"")</f>
        <v/>
      </c>
      <c r="P454" s="0" t="str">
        <f aca="false">IF(AND(OR($F454="In Progress",$F454="Pending Client Data",$F454="Under Review"),$A454&lt;&gt;""),SUMPRODUCT((($F$2:$F$600="In Progress")+($F$2:$F$600="Pending Client Data")+($F$2:$F$600="Under Review"))*($A$2:$A$600&lt;&gt;"")*((IF($G$2:$G$600="",99999999,$G$2:$G$600))&lt;IF($G454="",99999999,$G454)))+SUMPRODUCT((($F$2:$F454="In Progress")+($F$2:$F454="Pending Client Data")+($F$2:$F454="Under Review"))*($A$2:$A454&lt;&gt;"")*((IF($G$2:$G454="",99999999,$G$2:$G454))=IF($G454="",99999999,$G454))),"")</f>
        <v/>
      </c>
    </row>
    <row r="455" customFormat="false" ht="15" hidden="false" customHeight="false" outlineLevel="0" collapsed="false">
      <c r="A455" s="9"/>
      <c r="B455" s="9"/>
      <c r="C455" s="10" t="str">
        <f aca="false">IF($B455="","",IFERROR(INDEX('Client Master'!$C:$C,MATCH($B455,'Client Master'!$B:$B,0)),"Code not found"))</f>
        <v/>
      </c>
      <c r="D455" s="9"/>
      <c r="E455" s="9"/>
      <c r="F455" s="9"/>
      <c r="G455" s="11"/>
      <c r="H455" s="11"/>
      <c r="I455" s="9"/>
      <c r="J455" s="12"/>
      <c r="K455" s="11"/>
      <c r="L455" s="9"/>
      <c r="N455" s="0" t="str">
        <f aca="false">IF(AND($J455&gt;0,$K455="",$A455&lt;&gt;""),SUMPRODUCT(($J$2:$J$600&gt;0)*($K$2:$K$600="")*($A$2:$A$600&lt;&gt;"")*((IF($G$2:$G$600="",99999999,$G$2:$G$600))&lt;IF($G455="",99999999,$G455)))+SUMPRODUCT(($J$2:$J455&gt;0)*($K$2:$K455="")*($A$2:$A455&lt;&gt;"")*((IF($G$2:$G455="",99999999,$G$2:$G455))=IF($G455="",99999999,$G455))),"")</f>
        <v/>
      </c>
      <c r="O455" s="0" t="str">
        <f aca="false">IF(AND($F455="Not Started",$A455&lt;&gt;""),SUMPRODUCT(($F$2:$F$600="Not Started")*($A$2:$A$600&lt;&gt;"")*((IF($G$2:$G$600="",99999999,$G$2:$G$600))&lt;IF($G455="",99999999,$G455)))+SUMPRODUCT(($F$2:$F455="Not Started")*($A$2:$A455&lt;&gt;"")*((IF($G$2:$G455="",99999999,$G$2:$G455))=IF($G455="",99999999,$G455))),"")</f>
        <v/>
      </c>
      <c r="P455" s="0" t="str">
        <f aca="false">IF(AND(OR($F455="In Progress",$F455="Pending Client Data",$F455="Under Review"),$A455&lt;&gt;""),SUMPRODUCT((($F$2:$F$600="In Progress")+($F$2:$F$600="Pending Client Data")+($F$2:$F$600="Under Review"))*($A$2:$A$600&lt;&gt;"")*((IF($G$2:$G$600="",99999999,$G$2:$G$600))&lt;IF($G455="",99999999,$G455)))+SUMPRODUCT((($F$2:$F455="In Progress")+($F$2:$F455="Pending Client Data")+($F$2:$F455="Under Review"))*($A$2:$A455&lt;&gt;"")*((IF($G$2:$G455="",99999999,$G$2:$G455))=IF($G455="",99999999,$G455))),"")</f>
        <v/>
      </c>
    </row>
    <row r="456" customFormat="false" ht="15" hidden="false" customHeight="false" outlineLevel="0" collapsed="false">
      <c r="A456" s="9"/>
      <c r="B456" s="9"/>
      <c r="C456" s="10" t="str">
        <f aca="false">IF($B456="","",IFERROR(INDEX('Client Master'!$C:$C,MATCH($B456,'Client Master'!$B:$B,0)),"Code not found"))</f>
        <v/>
      </c>
      <c r="D456" s="9"/>
      <c r="E456" s="9"/>
      <c r="F456" s="9"/>
      <c r="G456" s="11"/>
      <c r="H456" s="11"/>
      <c r="I456" s="9"/>
      <c r="J456" s="12"/>
      <c r="K456" s="11"/>
      <c r="L456" s="9"/>
      <c r="N456" s="0" t="str">
        <f aca="false">IF(AND($J456&gt;0,$K456="",$A456&lt;&gt;""),SUMPRODUCT(($J$2:$J$600&gt;0)*($K$2:$K$600="")*($A$2:$A$600&lt;&gt;"")*((IF($G$2:$G$600="",99999999,$G$2:$G$600))&lt;IF($G456="",99999999,$G456)))+SUMPRODUCT(($J$2:$J456&gt;0)*($K$2:$K456="")*($A$2:$A456&lt;&gt;"")*((IF($G$2:$G456="",99999999,$G$2:$G456))=IF($G456="",99999999,$G456))),"")</f>
        <v/>
      </c>
      <c r="O456" s="0" t="str">
        <f aca="false">IF(AND($F456="Not Started",$A456&lt;&gt;""),SUMPRODUCT(($F$2:$F$600="Not Started")*($A$2:$A$600&lt;&gt;"")*((IF($G$2:$G$600="",99999999,$G$2:$G$600))&lt;IF($G456="",99999999,$G456)))+SUMPRODUCT(($F$2:$F456="Not Started")*($A$2:$A456&lt;&gt;"")*((IF($G$2:$G456="",99999999,$G$2:$G456))=IF($G456="",99999999,$G456))),"")</f>
        <v/>
      </c>
      <c r="P456" s="0" t="str">
        <f aca="false">IF(AND(OR($F456="In Progress",$F456="Pending Client Data",$F456="Under Review"),$A456&lt;&gt;""),SUMPRODUCT((($F$2:$F$600="In Progress")+($F$2:$F$600="Pending Client Data")+($F$2:$F$600="Under Review"))*($A$2:$A$600&lt;&gt;"")*((IF($G$2:$G$600="",99999999,$G$2:$G$600))&lt;IF($G456="",99999999,$G456)))+SUMPRODUCT((($F$2:$F456="In Progress")+($F$2:$F456="Pending Client Data")+($F$2:$F456="Under Review"))*($A$2:$A456&lt;&gt;"")*((IF($G$2:$G456="",99999999,$G$2:$G456))=IF($G456="",99999999,$G456))),"")</f>
        <v/>
      </c>
    </row>
    <row r="457" customFormat="false" ht="15" hidden="false" customHeight="false" outlineLevel="0" collapsed="false">
      <c r="A457" s="9"/>
      <c r="B457" s="9"/>
      <c r="C457" s="10" t="str">
        <f aca="false">IF($B457="","",IFERROR(INDEX('Client Master'!$C:$C,MATCH($B457,'Client Master'!$B:$B,0)),"Code not found"))</f>
        <v/>
      </c>
      <c r="D457" s="9"/>
      <c r="E457" s="9"/>
      <c r="F457" s="9"/>
      <c r="G457" s="11"/>
      <c r="H457" s="11"/>
      <c r="I457" s="9"/>
      <c r="J457" s="12"/>
      <c r="K457" s="11"/>
      <c r="L457" s="9"/>
      <c r="N457" s="0" t="str">
        <f aca="false">IF(AND($J457&gt;0,$K457="",$A457&lt;&gt;""),SUMPRODUCT(($J$2:$J$600&gt;0)*($K$2:$K$600="")*($A$2:$A$600&lt;&gt;"")*((IF($G$2:$G$600="",99999999,$G$2:$G$600))&lt;IF($G457="",99999999,$G457)))+SUMPRODUCT(($J$2:$J457&gt;0)*($K$2:$K457="")*($A$2:$A457&lt;&gt;"")*((IF($G$2:$G457="",99999999,$G$2:$G457))=IF($G457="",99999999,$G457))),"")</f>
        <v/>
      </c>
      <c r="O457" s="0" t="str">
        <f aca="false">IF(AND($F457="Not Started",$A457&lt;&gt;""),SUMPRODUCT(($F$2:$F$600="Not Started")*($A$2:$A$600&lt;&gt;"")*((IF($G$2:$G$600="",99999999,$G$2:$G$600))&lt;IF($G457="",99999999,$G457)))+SUMPRODUCT(($F$2:$F457="Not Started")*($A$2:$A457&lt;&gt;"")*((IF($G$2:$G457="",99999999,$G$2:$G457))=IF($G457="",99999999,$G457))),"")</f>
        <v/>
      </c>
      <c r="P457" s="0" t="str">
        <f aca="false">IF(AND(OR($F457="In Progress",$F457="Pending Client Data",$F457="Under Review"),$A457&lt;&gt;""),SUMPRODUCT((($F$2:$F$600="In Progress")+($F$2:$F$600="Pending Client Data")+($F$2:$F$600="Under Review"))*($A$2:$A$600&lt;&gt;"")*((IF($G$2:$G$600="",99999999,$G$2:$G$600))&lt;IF($G457="",99999999,$G457)))+SUMPRODUCT((($F$2:$F457="In Progress")+($F$2:$F457="Pending Client Data")+($F$2:$F457="Under Review"))*($A$2:$A457&lt;&gt;"")*((IF($G$2:$G457="",99999999,$G$2:$G457))=IF($G457="",99999999,$G457))),"")</f>
        <v/>
      </c>
    </row>
    <row r="458" customFormat="false" ht="15" hidden="false" customHeight="false" outlineLevel="0" collapsed="false">
      <c r="A458" s="9"/>
      <c r="B458" s="9"/>
      <c r="C458" s="10" t="str">
        <f aca="false">IF($B458="","",IFERROR(INDEX('Client Master'!$C:$C,MATCH($B458,'Client Master'!$B:$B,0)),"Code not found"))</f>
        <v/>
      </c>
      <c r="D458" s="9"/>
      <c r="E458" s="9"/>
      <c r="F458" s="9"/>
      <c r="G458" s="11"/>
      <c r="H458" s="11"/>
      <c r="I458" s="9"/>
      <c r="J458" s="12"/>
      <c r="K458" s="11"/>
      <c r="L458" s="9"/>
      <c r="N458" s="0" t="str">
        <f aca="false">IF(AND($J458&gt;0,$K458="",$A458&lt;&gt;""),SUMPRODUCT(($J$2:$J$600&gt;0)*($K$2:$K$600="")*($A$2:$A$600&lt;&gt;"")*((IF($G$2:$G$600="",99999999,$G$2:$G$600))&lt;IF($G458="",99999999,$G458)))+SUMPRODUCT(($J$2:$J458&gt;0)*($K$2:$K458="")*($A$2:$A458&lt;&gt;"")*((IF($G$2:$G458="",99999999,$G$2:$G458))=IF($G458="",99999999,$G458))),"")</f>
        <v/>
      </c>
      <c r="O458" s="0" t="str">
        <f aca="false">IF(AND($F458="Not Started",$A458&lt;&gt;""),SUMPRODUCT(($F$2:$F$600="Not Started")*($A$2:$A$600&lt;&gt;"")*((IF($G$2:$G$600="",99999999,$G$2:$G$600))&lt;IF($G458="",99999999,$G458)))+SUMPRODUCT(($F$2:$F458="Not Started")*($A$2:$A458&lt;&gt;"")*((IF($G$2:$G458="",99999999,$G$2:$G458))=IF($G458="",99999999,$G458))),"")</f>
        <v/>
      </c>
      <c r="P458" s="0" t="str">
        <f aca="false">IF(AND(OR($F458="In Progress",$F458="Pending Client Data",$F458="Under Review"),$A458&lt;&gt;""),SUMPRODUCT((($F$2:$F$600="In Progress")+($F$2:$F$600="Pending Client Data")+($F$2:$F$600="Under Review"))*($A$2:$A$600&lt;&gt;"")*((IF($G$2:$G$600="",99999999,$G$2:$G$600))&lt;IF($G458="",99999999,$G458)))+SUMPRODUCT((($F$2:$F458="In Progress")+($F$2:$F458="Pending Client Data")+($F$2:$F458="Under Review"))*($A$2:$A458&lt;&gt;"")*((IF($G$2:$G458="",99999999,$G$2:$G458))=IF($G458="",99999999,$G458))),"")</f>
        <v/>
      </c>
    </row>
    <row r="459" customFormat="false" ht="15" hidden="false" customHeight="false" outlineLevel="0" collapsed="false">
      <c r="A459" s="9"/>
      <c r="B459" s="9"/>
      <c r="C459" s="10" t="str">
        <f aca="false">IF($B459="","",IFERROR(INDEX('Client Master'!$C:$C,MATCH($B459,'Client Master'!$B:$B,0)),"Code not found"))</f>
        <v/>
      </c>
      <c r="D459" s="9"/>
      <c r="E459" s="9"/>
      <c r="F459" s="9"/>
      <c r="G459" s="11"/>
      <c r="H459" s="11"/>
      <c r="I459" s="9"/>
      <c r="J459" s="12"/>
      <c r="K459" s="11"/>
      <c r="L459" s="9"/>
      <c r="N459" s="0" t="str">
        <f aca="false">IF(AND($J459&gt;0,$K459="",$A459&lt;&gt;""),SUMPRODUCT(($J$2:$J$600&gt;0)*($K$2:$K$600="")*($A$2:$A$600&lt;&gt;"")*((IF($G$2:$G$600="",99999999,$G$2:$G$600))&lt;IF($G459="",99999999,$G459)))+SUMPRODUCT(($J$2:$J459&gt;0)*($K$2:$K459="")*($A$2:$A459&lt;&gt;"")*((IF($G$2:$G459="",99999999,$G$2:$G459))=IF($G459="",99999999,$G459))),"")</f>
        <v/>
      </c>
      <c r="O459" s="0" t="str">
        <f aca="false">IF(AND($F459="Not Started",$A459&lt;&gt;""),SUMPRODUCT(($F$2:$F$600="Not Started")*($A$2:$A$600&lt;&gt;"")*((IF($G$2:$G$600="",99999999,$G$2:$G$600))&lt;IF($G459="",99999999,$G459)))+SUMPRODUCT(($F$2:$F459="Not Started")*($A$2:$A459&lt;&gt;"")*((IF($G$2:$G459="",99999999,$G$2:$G459))=IF($G459="",99999999,$G459))),"")</f>
        <v/>
      </c>
      <c r="P459" s="0" t="str">
        <f aca="false">IF(AND(OR($F459="In Progress",$F459="Pending Client Data",$F459="Under Review"),$A459&lt;&gt;""),SUMPRODUCT((($F$2:$F$600="In Progress")+($F$2:$F$600="Pending Client Data")+($F$2:$F$600="Under Review"))*($A$2:$A$600&lt;&gt;"")*((IF($G$2:$G$600="",99999999,$G$2:$G$600))&lt;IF($G459="",99999999,$G459)))+SUMPRODUCT((($F$2:$F459="In Progress")+($F$2:$F459="Pending Client Data")+($F$2:$F459="Under Review"))*($A$2:$A459&lt;&gt;"")*((IF($G$2:$G459="",99999999,$G$2:$G459))=IF($G459="",99999999,$G459))),"")</f>
        <v/>
      </c>
    </row>
    <row r="460" customFormat="false" ht="15" hidden="false" customHeight="false" outlineLevel="0" collapsed="false">
      <c r="A460" s="9"/>
      <c r="B460" s="9"/>
      <c r="C460" s="10" t="str">
        <f aca="false">IF($B460="","",IFERROR(INDEX('Client Master'!$C:$C,MATCH($B460,'Client Master'!$B:$B,0)),"Code not found"))</f>
        <v/>
      </c>
      <c r="D460" s="9"/>
      <c r="E460" s="9"/>
      <c r="F460" s="9"/>
      <c r="G460" s="11"/>
      <c r="H460" s="11"/>
      <c r="I460" s="9"/>
      <c r="J460" s="12"/>
      <c r="K460" s="11"/>
      <c r="L460" s="9"/>
      <c r="N460" s="0" t="str">
        <f aca="false">IF(AND($J460&gt;0,$K460="",$A460&lt;&gt;""),SUMPRODUCT(($J$2:$J$600&gt;0)*($K$2:$K$600="")*($A$2:$A$600&lt;&gt;"")*((IF($G$2:$G$600="",99999999,$G$2:$G$600))&lt;IF($G460="",99999999,$G460)))+SUMPRODUCT(($J$2:$J460&gt;0)*($K$2:$K460="")*($A$2:$A460&lt;&gt;"")*((IF($G$2:$G460="",99999999,$G$2:$G460))=IF($G460="",99999999,$G460))),"")</f>
        <v/>
      </c>
      <c r="O460" s="0" t="str">
        <f aca="false">IF(AND($F460="Not Started",$A460&lt;&gt;""),SUMPRODUCT(($F$2:$F$600="Not Started")*($A$2:$A$600&lt;&gt;"")*((IF($G$2:$G$600="",99999999,$G$2:$G$600))&lt;IF($G460="",99999999,$G460)))+SUMPRODUCT(($F$2:$F460="Not Started")*($A$2:$A460&lt;&gt;"")*((IF($G$2:$G460="",99999999,$G$2:$G460))=IF($G460="",99999999,$G460))),"")</f>
        <v/>
      </c>
      <c r="P460" s="0" t="str">
        <f aca="false">IF(AND(OR($F460="In Progress",$F460="Pending Client Data",$F460="Under Review"),$A460&lt;&gt;""),SUMPRODUCT((($F$2:$F$600="In Progress")+($F$2:$F$600="Pending Client Data")+($F$2:$F$600="Under Review"))*($A$2:$A$600&lt;&gt;"")*((IF($G$2:$G$600="",99999999,$G$2:$G$600))&lt;IF($G460="",99999999,$G460)))+SUMPRODUCT((($F$2:$F460="In Progress")+($F$2:$F460="Pending Client Data")+($F$2:$F460="Under Review"))*($A$2:$A460&lt;&gt;"")*((IF($G$2:$G460="",99999999,$G$2:$G460))=IF($G460="",99999999,$G460))),"")</f>
        <v/>
      </c>
    </row>
    <row r="461" customFormat="false" ht="15" hidden="false" customHeight="false" outlineLevel="0" collapsed="false">
      <c r="A461" s="9"/>
      <c r="B461" s="9"/>
      <c r="C461" s="10" t="str">
        <f aca="false">IF($B461="","",IFERROR(INDEX('Client Master'!$C:$C,MATCH($B461,'Client Master'!$B:$B,0)),"Code not found"))</f>
        <v/>
      </c>
      <c r="D461" s="9"/>
      <c r="E461" s="9"/>
      <c r="F461" s="9"/>
      <c r="G461" s="11"/>
      <c r="H461" s="11"/>
      <c r="I461" s="9"/>
      <c r="J461" s="12"/>
      <c r="K461" s="11"/>
      <c r="L461" s="9"/>
      <c r="N461" s="0" t="str">
        <f aca="false">IF(AND($J461&gt;0,$K461="",$A461&lt;&gt;""),SUMPRODUCT(($J$2:$J$600&gt;0)*($K$2:$K$600="")*($A$2:$A$600&lt;&gt;"")*((IF($G$2:$G$600="",99999999,$G$2:$G$600))&lt;IF($G461="",99999999,$G461)))+SUMPRODUCT(($J$2:$J461&gt;0)*($K$2:$K461="")*($A$2:$A461&lt;&gt;"")*((IF($G$2:$G461="",99999999,$G$2:$G461))=IF($G461="",99999999,$G461))),"")</f>
        <v/>
      </c>
      <c r="O461" s="0" t="str">
        <f aca="false">IF(AND($F461="Not Started",$A461&lt;&gt;""),SUMPRODUCT(($F$2:$F$600="Not Started")*($A$2:$A$600&lt;&gt;"")*((IF($G$2:$G$600="",99999999,$G$2:$G$600))&lt;IF($G461="",99999999,$G461)))+SUMPRODUCT(($F$2:$F461="Not Started")*($A$2:$A461&lt;&gt;"")*((IF($G$2:$G461="",99999999,$G$2:$G461))=IF($G461="",99999999,$G461))),"")</f>
        <v/>
      </c>
      <c r="P461" s="0" t="str">
        <f aca="false">IF(AND(OR($F461="In Progress",$F461="Pending Client Data",$F461="Under Review"),$A461&lt;&gt;""),SUMPRODUCT((($F$2:$F$600="In Progress")+($F$2:$F$600="Pending Client Data")+($F$2:$F$600="Under Review"))*($A$2:$A$600&lt;&gt;"")*((IF($G$2:$G$600="",99999999,$G$2:$G$600))&lt;IF($G461="",99999999,$G461)))+SUMPRODUCT((($F$2:$F461="In Progress")+($F$2:$F461="Pending Client Data")+($F$2:$F461="Under Review"))*($A$2:$A461&lt;&gt;"")*((IF($G$2:$G461="",99999999,$G$2:$G461))=IF($G461="",99999999,$G461))),"")</f>
        <v/>
      </c>
    </row>
    <row r="462" customFormat="false" ht="15" hidden="false" customHeight="false" outlineLevel="0" collapsed="false">
      <c r="A462" s="9"/>
      <c r="B462" s="9"/>
      <c r="C462" s="10" t="str">
        <f aca="false">IF($B462="","",IFERROR(INDEX('Client Master'!$C:$C,MATCH($B462,'Client Master'!$B:$B,0)),"Code not found"))</f>
        <v/>
      </c>
      <c r="D462" s="9"/>
      <c r="E462" s="9"/>
      <c r="F462" s="9"/>
      <c r="G462" s="11"/>
      <c r="H462" s="11"/>
      <c r="I462" s="9"/>
      <c r="J462" s="12"/>
      <c r="K462" s="11"/>
      <c r="L462" s="9"/>
      <c r="N462" s="0" t="str">
        <f aca="false">IF(AND($J462&gt;0,$K462="",$A462&lt;&gt;""),SUMPRODUCT(($J$2:$J$600&gt;0)*($K$2:$K$600="")*($A$2:$A$600&lt;&gt;"")*((IF($G$2:$G$600="",99999999,$G$2:$G$600))&lt;IF($G462="",99999999,$G462)))+SUMPRODUCT(($J$2:$J462&gt;0)*($K$2:$K462="")*($A$2:$A462&lt;&gt;"")*((IF($G$2:$G462="",99999999,$G$2:$G462))=IF($G462="",99999999,$G462))),"")</f>
        <v/>
      </c>
      <c r="O462" s="0" t="str">
        <f aca="false">IF(AND($F462="Not Started",$A462&lt;&gt;""),SUMPRODUCT(($F$2:$F$600="Not Started")*($A$2:$A$600&lt;&gt;"")*((IF($G$2:$G$600="",99999999,$G$2:$G$600))&lt;IF($G462="",99999999,$G462)))+SUMPRODUCT(($F$2:$F462="Not Started")*($A$2:$A462&lt;&gt;"")*((IF($G$2:$G462="",99999999,$G$2:$G462))=IF($G462="",99999999,$G462))),"")</f>
        <v/>
      </c>
      <c r="P462" s="0" t="str">
        <f aca="false">IF(AND(OR($F462="In Progress",$F462="Pending Client Data",$F462="Under Review"),$A462&lt;&gt;""),SUMPRODUCT((($F$2:$F$600="In Progress")+($F$2:$F$600="Pending Client Data")+($F$2:$F$600="Under Review"))*($A$2:$A$600&lt;&gt;"")*((IF($G$2:$G$600="",99999999,$G$2:$G$600))&lt;IF($G462="",99999999,$G462)))+SUMPRODUCT((($F$2:$F462="In Progress")+($F$2:$F462="Pending Client Data")+($F$2:$F462="Under Review"))*($A$2:$A462&lt;&gt;"")*((IF($G$2:$G462="",99999999,$G$2:$G462))=IF($G462="",99999999,$G462))),"")</f>
        <v/>
      </c>
    </row>
    <row r="463" customFormat="false" ht="15" hidden="false" customHeight="false" outlineLevel="0" collapsed="false">
      <c r="A463" s="9"/>
      <c r="B463" s="9"/>
      <c r="C463" s="10" t="str">
        <f aca="false">IF($B463="","",IFERROR(INDEX('Client Master'!$C:$C,MATCH($B463,'Client Master'!$B:$B,0)),"Code not found"))</f>
        <v/>
      </c>
      <c r="D463" s="9"/>
      <c r="E463" s="9"/>
      <c r="F463" s="9"/>
      <c r="G463" s="11"/>
      <c r="H463" s="11"/>
      <c r="I463" s="9"/>
      <c r="J463" s="12"/>
      <c r="K463" s="11"/>
      <c r="L463" s="9"/>
      <c r="N463" s="0" t="str">
        <f aca="false">IF(AND($J463&gt;0,$K463="",$A463&lt;&gt;""),SUMPRODUCT(($J$2:$J$600&gt;0)*($K$2:$K$600="")*($A$2:$A$600&lt;&gt;"")*((IF($G$2:$G$600="",99999999,$G$2:$G$600))&lt;IF($G463="",99999999,$G463)))+SUMPRODUCT(($J$2:$J463&gt;0)*($K$2:$K463="")*($A$2:$A463&lt;&gt;"")*((IF($G$2:$G463="",99999999,$G$2:$G463))=IF($G463="",99999999,$G463))),"")</f>
        <v/>
      </c>
      <c r="O463" s="0" t="str">
        <f aca="false">IF(AND($F463="Not Started",$A463&lt;&gt;""),SUMPRODUCT(($F$2:$F$600="Not Started")*($A$2:$A$600&lt;&gt;"")*((IF($G$2:$G$600="",99999999,$G$2:$G$600))&lt;IF($G463="",99999999,$G463)))+SUMPRODUCT(($F$2:$F463="Not Started")*($A$2:$A463&lt;&gt;"")*((IF($G$2:$G463="",99999999,$G$2:$G463))=IF($G463="",99999999,$G463))),"")</f>
        <v/>
      </c>
      <c r="P463" s="0" t="str">
        <f aca="false">IF(AND(OR($F463="In Progress",$F463="Pending Client Data",$F463="Under Review"),$A463&lt;&gt;""),SUMPRODUCT((($F$2:$F$600="In Progress")+($F$2:$F$600="Pending Client Data")+($F$2:$F$600="Under Review"))*($A$2:$A$600&lt;&gt;"")*((IF($G$2:$G$600="",99999999,$G$2:$G$600))&lt;IF($G463="",99999999,$G463)))+SUMPRODUCT((($F$2:$F463="In Progress")+($F$2:$F463="Pending Client Data")+($F$2:$F463="Under Review"))*($A$2:$A463&lt;&gt;"")*((IF($G$2:$G463="",99999999,$G$2:$G463))=IF($G463="",99999999,$G463))),"")</f>
        <v/>
      </c>
    </row>
    <row r="464" customFormat="false" ht="15" hidden="false" customHeight="false" outlineLevel="0" collapsed="false">
      <c r="A464" s="9"/>
      <c r="B464" s="9"/>
      <c r="C464" s="10" t="str">
        <f aca="false">IF($B464="","",IFERROR(INDEX('Client Master'!$C:$C,MATCH($B464,'Client Master'!$B:$B,0)),"Code not found"))</f>
        <v/>
      </c>
      <c r="D464" s="9"/>
      <c r="E464" s="9"/>
      <c r="F464" s="9"/>
      <c r="G464" s="11"/>
      <c r="H464" s="11"/>
      <c r="I464" s="9"/>
      <c r="J464" s="12"/>
      <c r="K464" s="11"/>
      <c r="L464" s="9"/>
      <c r="N464" s="0" t="str">
        <f aca="false">IF(AND($J464&gt;0,$K464="",$A464&lt;&gt;""),SUMPRODUCT(($J$2:$J$600&gt;0)*($K$2:$K$600="")*($A$2:$A$600&lt;&gt;"")*((IF($G$2:$G$600="",99999999,$G$2:$G$600))&lt;IF($G464="",99999999,$G464)))+SUMPRODUCT(($J$2:$J464&gt;0)*($K$2:$K464="")*($A$2:$A464&lt;&gt;"")*((IF($G$2:$G464="",99999999,$G$2:$G464))=IF($G464="",99999999,$G464))),"")</f>
        <v/>
      </c>
      <c r="O464" s="0" t="str">
        <f aca="false">IF(AND($F464="Not Started",$A464&lt;&gt;""),SUMPRODUCT(($F$2:$F$600="Not Started")*($A$2:$A$600&lt;&gt;"")*((IF($G$2:$G$600="",99999999,$G$2:$G$600))&lt;IF($G464="",99999999,$G464)))+SUMPRODUCT(($F$2:$F464="Not Started")*($A$2:$A464&lt;&gt;"")*((IF($G$2:$G464="",99999999,$G$2:$G464))=IF($G464="",99999999,$G464))),"")</f>
        <v/>
      </c>
      <c r="P464" s="0" t="str">
        <f aca="false">IF(AND(OR($F464="In Progress",$F464="Pending Client Data",$F464="Under Review"),$A464&lt;&gt;""),SUMPRODUCT((($F$2:$F$600="In Progress")+($F$2:$F$600="Pending Client Data")+($F$2:$F$600="Under Review"))*($A$2:$A$600&lt;&gt;"")*((IF($G$2:$G$600="",99999999,$G$2:$G$600))&lt;IF($G464="",99999999,$G464)))+SUMPRODUCT((($F$2:$F464="In Progress")+($F$2:$F464="Pending Client Data")+($F$2:$F464="Under Review"))*($A$2:$A464&lt;&gt;"")*((IF($G$2:$G464="",99999999,$G$2:$G464))=IF($G464="",99999999,$G464))),"")</f>
        <v/>
      </c>
    </row>
    <row r="465" customFormat="false" ht="15" hidden="false" customHeight="false" outlineLevel="0" collapsed="false">
      <c r="A465" s="9"/>
      <c r="B465" s="9"/>
      <c r="C465" s="10" t="str">
        <f aca="false">IF($B465="","",IFERROR(INDEX('Client Master'!$C:$C,MATCH($B465,'Client Master'!$B:$B,0)),"Code not found"))</f>
        <v/>
      </c>
      <c r="D465" s="9"/>
      <c r="E465" s="9"/>
      <c r="F465" s="9"/>
      <c r="G465" s="11"/>
      <c r="H465" s="11"/>
      <c r="I465" s="9"/>
      <c r="J465" s="12"/>
      <c r="K465" s="11"/>
      <c r="L465" s="9"/>
      <c r="N465" s="0" t="str">
        <f aca="false">IF(AND($J465&gt;0,$K465="",$A465&lt;&gt;""),SUMPRODUCT(($J$2:$J$600&gt;0)*($K$2:$K$600="")*($A$2:$A$600&lt;&gt;"")*((IF($G$2:$G$600="",99999999,$G$2:$G$600))&lt;IF($G465="",99999999,$G465)))+SUMPRODUCT(($J$2:$J465&gt;0)*($K$2:$K465="")*($A$2:$A465&lt;&gt;"")*((IF($G$2:$G465="",99999999,$G$2:$G465))=IF($G465="",99999999,$G465))),"")</f>
        <v/>
      </c>
      <c r="O465" s="0" t="str">
        <f aca="false">IF(AND($F465="Not Started",$A465&lt;&gt;""),SUMPRODUCT(($F$2:$F$600="Not Started")*($A$2:$A$600&lt;&gt;"")*((IF($G$2:$G$600="",99999999,$G$2:$G$600))&lt;IF($G465="",99999999,$G465)))+SUMPRODUCT(($F$2:$F465="Not Started")*($A$2:$A465&lt;&gt;"")*((IF($G$2:$G465="",99999999,$G$2:$G465))=IF($G465="",99999999,$G465))),"")</f>
        <v/>
      </c>
      <c r="P465" s="0" t="str">
        <f aca="false">IF(AND(OR($F465="In Progress",$F465="Pending Client Data",$F465="Under Review"),$A465&lt;&gt;""),SUMPRODUCT((($F$2:$F$600="In Progress")+($F$2:$F$600="Pending Client Data")+($F$2:$F$600="Under Review"))*($A$2:$A$600&lt;&gt;"")*((IF($G$2:$G$600="",99999999,$G$2:$G$600))&lt;IF($G465="",99999999,$G465)))+SUMPRODUCT((($F$2:$F465="In Progress")+($F$2:$F465="Pending Client Data")+($F$2:$F465="Under Review"))*($A$2:$A465&lt;&gt;"")*((IF($G$2:$G465="",99999999,$G$2:$G465))=IF($G465="",99999999,$G465))),"")</f>
        <v/>
      </c>
    </row>
    <row r="466" customFormat="false" ht="15" hidden="false" customHeight="false" outlineLevel="0" collapsed="false">
      <c r="A466" s="9"/>
      <c r="B466" s="9"/>
      <c r="C466" s="10" t="str">
        <f aca="false">IF($B466="","",IFERROR(INDEX('Client Master'!$C:$C,MATCH($B466,'Client Master'!$B:$B,0)),"Code not found"))</f>
        <v/>
      </c>
      <c r="D466" s="9"/>
      <c r="E466" s="9"/>
      <c r="F466" s="9"/>
      <c r="G466" s="11"/>
      <c r="H466" s="11"/>
      <c r="I466" s="9"/>
      <c r="J466" s="12"/>
      <c r="K466" s="11"/>
      <c r="L466" s="9"/>
      <c r="N466" s="0" t="str">
        <f aca="false">IF(AND($J466&gt;0,$K466="",$A466&lt;&gt;""),SUMPRODUCT(($J$2:$J$600&gt;0)*($K$2:$K$600="")*($A$2:$A$600&lt;&gt;"")*((IF($G$2:$G$600="",99999999,$G$2:$G$600))&lt;IF($G466="",99999999,$G466)))+SUMPRODUCT(($J$2:$J466&gt;0)*($K$2:$K466="")*($A$2:$A466&lt;&gt;"")*((IF($G$2:$G466="",99999999,$G$2:$G466))=IF($G466="",99999999,$G466))),"")</f>
        <v/>
      </c>
      <c r="O466" s="0" t="str">
        <f aca="false">IF(AND($F466="Not Started",$A466&lt;&gt;""),SUMPRODUCT(($F$2:$F$600="Not Started")*($A$2:$A$600&lt;&gt;"")*((IF($G$2:$G$600="",99999999,$G$2:$G$600))&lt;IF($G466="",99999999,$G466)))+SUMPRODUCT(($F$2:$F466="Not Started")*($A$2:$A466&lt;&gt;"")*((IF($G$2:$G466="",99999999,$G$2:$G466))=IF($G466="",99999999,$G466))),"")</f>
        <v/>
      </c>
      <c r="P466" s="0" t="str">
        <f aca="false">IF(AND(OR($F466="In Progress",$F466="Pending Client Data",$F466="Under Review"),$A466&lt;&gt;""),SUMPRODUCT((($F$2:$F$600="In Progress")+($F$2:$F$600="Pending Client Data")+($F$2:$F$600="Under Review"))*($A$2:$A$600&lt;&gt;"")*((IF($G$2:$G$600="",99999999,$G$2:$G$600))&lt;IF($G466="",99999999,$G466)))+SUMPRODUCT((($F$2:$F466="In Progress")+($F$2:$F466="Pending Client Data")+($F$2:$F466="Under Review"))*($A$2:$A466&lt;&gt;"")*((IF($G$2:$G466="",99999999,$G$2:$G466))=IF($G466="",99999999,$G466))),"")</f>
        <v/>
      </c>
    </row>
    <row r="467" customFormat="false" ht="15" hidden="false" customHeight="false" outlineLevel="0" collapsed="false">
      <c r="A467" s="9"/>
      <c r="B467" s="9"/>
      <c r="C467" s="10" t="str">
        <f aca="false">IF($B467="","",IFERROR(INDEX('Client Master'!$C:$C,MATCH($B467,'Client Master'!$B:$B,0)),"Code not found"))</f>
        <v/>
      </c>
      <c r="D467" s="9"/>
      <c r="E467" s="9"/>
      <c r="F467" s="9"/>
      <c r="G467" s="11"/>
      <c r="H467" s="11"/>
      <c r="I467" s="9"/>
      <c r="J467" s="12"/>
      <c r="K467" s="11"/>
      <c r="L467" s="9"/>
      <c r="N467" s="0" t="str">
        <f aca="false">IF(AND($J467&gt;0,$K467="",$A467&lt;&gt;""),SUMPRODUCT(($J$2:$J$600&gt;0)*($K$2:$K$600="")*($A$2:$A$600&lt;&gt;"")*((IF($G$2:$G$600="",99999999,$G$2:$G$600))&lt;IF($G467="",99999999,$G467)))+SUMPRODUCT(($J$2:$J467&gt;0)*($K$2:$K467="")*($A$2:$A467&lt;&gt;"")*((IF($G$2:$G467="",99999999,$G$2:$G467))=IF($G467="",99999999,$G467))),"")</f>
        <v/>
      </c>
      <c r="O467" s="0" t="str">
        <f aca="false">IF(AND($F467="Not Started",$A467&lt;&gt;""),SUMPRODUCT(($F$2:$F$600="Not Started")*($A$2:$A$600&lt;&gt;"")*((IF($G$2:$G$600="",99999999,$G$2:$G$600))&lt;IF($G467="",99999999,$G467)))+SUMPRODUCT(($F$2:$F467="Not Started")*($A$2:$A467&lt;&gt;"")*((IF($G$2:$G467="",99999999,$G$2:$G467))=IF($G467="",99999999,$G467))),"")</f>
        <v/>
      </c>
      <c r="P467" s="0" t="str">
        <f aca="false">IF(AND(OR($F467="In Progress",$F467="Pending Client Data",$F467="Under Review"),$A467&lt;&gt;""),SUMPRODUCT((($F$2:$F$600="In Progress")+($F$2:$F$600="Pending Client Data")+($F$2:$F$600="Under Review"))*($A$2:$A$600&lt;&gt;"")*((IF($G$2:$G$600="",99999999,$G$2:$G$600))&lt;IF($G467="",99999999,$G467)))+SUMPRODUCT((($F$2:$F467="In Progress")+($F$2:$F467="Pending Client Data")+($F$2:$F467="Under Review"))*($A$2:$A467&lt;&gt;"")*((IF($G$2:$G467="",99999999,$G$2:$G467))=IF($G467="",99999999,$G467))),"")</f>
        <v/>
      </c>
    </row>
    <row r="468" customFormat="false" ht="15" hidden="false" customHeight="false" outlineLevel="0" collapsed="false">
      <c r="A468" s="9"/>
      <c r="B468" s="9"/>
      <c r="C468" s="10" t="str">
        <f aca="false">IF($B468="","",IFERROR(INDEX('Client Master'!$C:$C,MATCH($B468,'Client Master'!$B:$B,0)),"Code not found"))</f>
        <v/>
      </c>
      <c r="D468" s="9"/>
      <c r="E468" s="9"/>
      <c r="F468" s="9"/>
      <c r="G468" s="11"/>
      <c r="H468" s="11"/>
      <c r="I468" s="9"/>
      <c r="J468" s="12"/>
      <c r="K468" s="11"/>
      <c r="L468" s="9"/>
      <c r="N468" s="0" t="str">
        <f aca="false">IF(AND($J468&gt;0,$K468="",$A468&lt;&gt;""),SUMPRODUCT(($J$2:$J$600&gt;0)*($K$2:$K$600="")*($A$2:$A$600&lt;&gt;"")*((IF($G$2:$G$600="",99999999,$G$2:$G$600))&lt;IF($G468="",99999999,$G468)))+SUMPRODUCT(($J$2:$J468&gt;0)*($K$2:$K468="")*($A$2:$A468&lt;&gt;"")*((IF($G$2:$G468="",99999999,$G$2:$G468))=IF($G468="",99999999,$G468))),"")</f>
        <v/>
      </c>
      <c r="O468" s="0" t="str">
        <f aca="false">IF(AND($F468="Not Started",$A468&lt;&gt;""),SUMPRODUCT(($F$2:$F$600="Not Started")*($A$2:$A$600&lt;&gt;"")*((IF($G$2:$G$600="",99999999,$G$2:$G$600))&lt;IF($G468="",99999999,$G468)))+SUMPRODUCT(($F$2:$F468="Not Started")*($A$2:$A468&lt;&gt;"")*((IF($G$2:$G468="",99999999,$G$2:$G468))=IF($G468="",99999999,$G468))),"")</f>
        <v/>
      </c>
      <c r="P468" s="0" t="str">
        <f aca="false">IF(AND(OR($F468="In Progress",$F468="Pending Client Data",$F468="Under Review"),$A468&lt;&gt;""),SUMPRODUCT((($F$2:$F$600="In Progress")+($F$2:$F$600="Pending Client Data")+($F$2:$F$600="Under Review"))*($A$2:$A$600&lt;&gt;"")*((IF($G$2:$G$600="",99999999,$G$2:$G$600))&lt;IF($G468="",99999999,$G468)))+SUMPRODUCT((($F$2:$F468="In Progress")+($F$2:$F468="Pending Client Data")+($F$2:$F468="Under Review"))*($A$2:$A468&lt;&gt;"")*((IF($G$2:$G468="",99999999,$G$2:$G468))=IF($G468="",99999999,$G468))),"")</f>
        <v/>
      </c>
    </row>
    <row r="469" customFormat="false" ht="15" hidden="false" customHeight="false" outlineLevel="0" collapsed="false">
      <c r="A469" s="9"/>
      <c r="B469" s="9"/>
      <c r="C469" s="10" t="str">
        <f aca="false">IF($B469="","",IFERROR(INDEX('Client Master'!$C:$C,MATCH($B469,'Client Master'!$B:$B,0)),"Code not found"))</f>
        <v/>
      </c>
      <c r="D469" s="9"/>
      <c r="E469" s="9"/>
      <c r="F469" s="9"/>
      <c r="G469" s="11"/>
      <c r="H469" s="11"/>
      <c r="I469" s="9"/>
      <c r="J469" s="12"/>
      <c r="K469" s="11"/>
      <c r="L469" s="9"/>
      <c r="N469" s="0" t="str">
        <f aca="false">IF(AND($J469&gt;0,$K469="",$A469&lt;&gt;""),SUMPRODUCT(($J$2:$J$600&gt;0)*($K$2:$K$600="")*($A$2:$A$600&lt;&gt;"")*((IF($G$2:$G$600="",99999999,$G$2:$G$600))&lt;IF($G469="",99999999,$G469)))+SUMPRODUCT(($J$2:$J469&gt;0)*($K$2:$K469="")*($A$2:$A469&lt;&gt;"")*((IF($G$2:$G469="",99999999,$G$2:$G469))=IF($G469="",99999999,$G469))),"")</f>
        <v/>
      </c>
      <c r="O469" s="0" t="str">
        <f aca="false">IF(AND($F469="Not Started",$A469&lt;&gt;""),SUMPRODUCT(($F$2:$F$600="Not Started")*($A$2:$A$600&lt;&gt;"")*((IF($G$2:$G$600="",99999999,$G$2:$G$600))&lt;IF($G469="",99999999,$G469)))+SUMPRODUCT(($F$2:$F469="Not Started")*($A$2:$A469&lt;&gt;"")*((IF($G$2:$G469="",99999999,$G$2:$G469))=IF($G469="",99999999,$G469))),"")</f>
        <v/>
      </c>
      <c r="P469" s="0" t="str">
        <f aca="false">IF(AND(OR($F469="In Progress",$F469="Pending Client Data",$F469="Under Review"),$A469&lt;&gt;""),SUMPRODUCT((($F$2:$F$600="In Progress")+($F$2:$F$600="Pending Client Data")+($F$2:$F$600="Under Review"))*($A$2:$A$600&lt;&gt;"")*((IF($G$2:$G$600="",99999999,$G$2:$G$600))&lt;IF($G469="",99999999,$G469)))+SUMPRODUCT((($F$2:$F469="In Progress")+($F$2:$F469="Pending Client Data")+($F$2:$F469="Under Review"))*($A$2:$A469&lt;&gt;"")*((IF($G$2:$G469="",99999999,$G$2:$G469))=IF($G469="",99999999,$G469))),"")</f>
        <v/>
      </c>
    </row>
    <row r="470" customFormat="false" ht="15" hidden="false" customHeight="false" outlineLevel="0" collapsed="false">
      <c r="A470" s="9"/>
      <c r="B470" s="9"/>
      <c r="C470" s="10" t="str">
        <f aca="false">IF($B470="","",IFERROR(INDEX('Client Master'!$C:$C,MATCH($B470,'Client Master'!$B:$B,0)),"Code not found"))</f>
        <v/>
      </c>
      <c r="D470" s="9"/>
      <c r="E470" s="9"/>
      <c r="F470" s="9"/>
      <c r="G470" s="11"/>
      <c r="H470" s="11"/>
      <c r="I470" s="9"/>
      <c r="J470" s="12"/>
      <c r="K470" s="11"/>
      <c r="L470" s="9"/>
      <c r="N470" s="0" t="str">
        <f aca="false">IF(AND($J470&gt;0,$K470="",$A470&lt;&gt;""),SUMPRODUCT(($J$2:$J$600&gt;0)*($K$2:$K$600="")*($A$2:$A$600&lt;&gt;"")*((IF($G$2:$G$600="",99999999,$G$2:$G$600))&lt;IF($G470="",99999999,$G470)))+SUMPRODUCT(($J$2:$J470&gt;0)*($K$2:$K470="")*($A$2:$A470&lt;&gt;"")*((IF($G$2:$G470="",99999999,$G$2:$G470))=IF($G470="",99999999,$G470))),"")</f>
        <v/>
      </c>
      <c r="O470" s="0" t="str">
        <f aca="false">IF(AND($F470="Not Started",$A470&lt;&gt;""),SUMPRODUCT(($F$2:$F$600="Not Started")*($A$2:$A$600&lt;&gt;"")*((IF($G$2:$G$600="",99999999,$G$2:$G$600))&lt;IF($G470="",99999999,$G470)))+SUMPRODUCT(($F$2:$F470="Not Started")*($A$2:$A470&lt;&gt;"")*((IF($G$2:$G470="",99999999,$G$2:$G470))=IF($G470="",99999999,$G470))),"")</f>
        <v/>
      </c>
      <c r="P470" s="0" t="str">
        <f aca="false">IF(AND(OR($F470="In Progress",$F470="Pending Client Data",$F470="Under Review"),$A470&lt;&gt;""),SUMPRODUCT((($F$2:$F$600="In Progress")+($F$2:$F$600="Pending Client Data")+($F$2:$F$600="Under Review"))*($A$2:$A$600&lt;&gt;"")*((IF($G$2:$G$600="",99999999,$G$2:$G$600))&lt;IF($G470="",99999999,$G470)))+SUMPRODUCT((($F$2:$F470="In Progress")+($F$2:$F470="Pending Client Data")+($F$2:$F470="Under Review"))*($A$2:$A470&lt;&gt;"")*((IF($G$2:$G470="",99999999,$G$2:$G470))=IF($G470="",99999999,$G470))),"")</f>
        <v/>
      </c>
    </row>
    <row r="471" customFormat="false" ht="15" hidden="false" customHeight="false" outlineLevel="0" collapsed="false">
      <c r="A471" s="9"/>
      <c r="B471" s="9"/>
      <c r="C471" s="10" t="str">
        <f aca="false">IF($B471="","",IFERROR(INDEX('Client Master'!$C:$C,MATCH($B471,'Client Master'!$B:$B,0)),"Code not found"))</f>
        <v/>
      </c>
      <c r="D471" s="9"/>
      <c r="E471" s="9"/>
      <c r="F471" s="9"/>
      <c r="G471" s="11"/>
      <c r="H471" s="11"/>
      <c r="I471" s="9"/>
      <c r="J471" s="12"/>
      <c r="K471" s="11"/>
      <c r="L471" s="9"/>
      <c r="N471" s="0" t="str">
        <f aca="false">IF(AND($J471&gt;0,$K471="",$A471&lt;&gt;""),SUMPRODUCT(($J$2:$J$600&gt;0)*($K$2:$K$600="")*($A$2:$A$600&lt;&gt;"")*((IF($G$2:$G$600="",99999999,$G$2:$G$600))&lt;IF($G471="",99999999,$G471)))+SUMPRODUCT(($J$2:$J471&gt;0)*($K$2:$K471="")*($A$2:$A471&lt;&gt;"")*((IF($G$2:$G471="",99999999,$G$2:$G471))=IF($G471="",99999999,$G471))),"")</f>
        <v/>
      </c>
      <c r="O471" s="0" t="str">
        <f aca="false">IF(AND($F471="Not Started",$A471&lt;&gt;""),SUMPRODUCT(($F$2:$F$600="Not Started")*($A$2:$A$600&lt;&gt;"")*((IF($G$2:$G$600="",99999999,$G$2:$G$600))&lt;IF($G471="",99999999,$G471)))+SUMPRODUCT(($F$2:$F471="Not Started")*($A$2:$A471&lt;&gt;"")*((IF($G$2:$G471="",99999999,$G$2:$G471))=IF($G471="",99999999,$G471))),"")</f>
        <v/>
      </c>
      <c r="P471" s="0" t="str">
        <f aca="false">IF(AND(OR($F471="In Progress",$F471="Pending Client Data",$F471="Under Review"),$A471&lt;&gt;""),SUMPRODUCT((($F$2:$F$600="In Progress")+($F$2:$F$600="Pending Client Data")+($F$2:$F$600="Under Review"))*($A$2:$A$600&lt;&gt;"")*((IF($G$2:$G$600="",99999999,$G$2:$G$600))&lt;IF($G471="",99999999,$G471)))+SUMPRODUCT((($F$2:$F471="In Progress")+($F$2:$F471="Pending Client Data")+($F$2:$F471="Under Review"))*($A$2:$A471&lt;&gt;"")*((IF($G$2:$G471="",99999999,$G$2:$G471))=IF($G471="",99999999,$G471))),"")</f>
        <v/>
      </c>
    </row>
    <row r="472" customFormat="false" ht="15" hidden="false" customHeight="false" outlineLevel="0" collapsed="false">
      <c r="A472" s="9"/>
      <c r="B472" s="9"/>
      <c r="C472" s="10" t="str">
        <f aca="false">IF($B472="","",IFERROR(INDEX('Client Master'!$C:$C,MATCH($B472,'Client Master'!$B:$B,0)),"Code not found"))</f>
        <v/>
      </c>
      <c r="D472" s="9"/>
      <c r="E472" s="9"/>
      <c r="F472" s="9"/>
      <c r="G472" s="11"/>
      <c r="H472" s="11"/>
      <c r="I472" s="9"/>
      <c r="J472" s="12"/>
      <c r="K472" s="11"/>
      <c r="L472" s="9"/>
      <c r="N472" s="0" t="str">
        <f aca="false">IF(AND($J472&gt;0,$K472="",$A472&lt;&gt;""),SUMPRODUCT(($J$2:$J$600&gt;0)*($K$2:$K$600="")*($A$2:$A$600&lt;&gt;"")*((IF($G$2:$G$600="",99999999,$G$2:$G$600))&lt;IF($G472="",99999999,$G472)))+SUMPRODUCT(($J$2:$J472&gt;0)*($K$2:$K472="")*($A$2:$A472&lt;&gt;"")*((IF($G$2:$G472="",99999999,$G$2:$G472))=IF($G472="",99999999,$G472))),"")</f>
        <v/>
      </c>
      <c r="O472" s="0" t="str">
        <f aca="false">IF(AND($F472="Not Started",$A472&lt;&gt;""),SUMPRODUCT(($F$2:$F$600="Not Started")*($A$2:$A$600&lt;&gt;"")*((IF($G$2:$G$600="",99999999,$G$2:$G$600))&lt;IF($G472="",99999999,$G472)))+SUMPRODUCT(($F$2:$F472="Not Started")*($A$2:$A472&lt;&gt;"")*((IF($G$2:$G472="",99999999,$G$2:$G472))=IF($G472="",99999999,$G472))),"")</f>
        <v/>
      </c>
      <c r="P472" s="0" t="str">
        <f aca="false">IF(AND(OR($F472="In Progress",$F472="Pending Client Data",$F472="Under Review"),$A472&lt;&gt;""),SUMPRODUCT((($F$2:$F$600="In Progress")+($F$2:$F$600="Pending Client Data")+($F$2:$F$600="Under Review"))*($A$2:$A$600&lt;&gt;"")*((IF($G$2:$G$600="",99999999,$G$2:$G$600))&lt;IF($G472="",99999999,$G472)))+SUMPRODUCT((($F$2:$F472="In Progress")+($F$2:$F472="Pending Client Data")+($F$2:$F472="Under Review"))*($A$2:$A472&lt;&gt;"")*((IF($G$2:$G472="",99999999,$G$2:$G472))=IF($G472="",99999999,$G472))),"")</f>
        <v/>
      </c>
    </row>
    <row r="473" customFormat="false" ht="15" hidden="false" customHeight="false" outlineLevel="0" collapsed="false">
      <c r="A473" s="9"/>
      <c r="B473" s="9"/>
      <c r="C473" s="10" t="str">
        <f aca="false">IF($B473="","",IFERROR(INDEX('Client Master'!$C:$C,MATCH($B473,'Client Master'!$B:$B,0)),"Code not found"))</f>
        <v/>
      </c>
      <c r="D473" s="9"/>
      <c r="E473" s="9"/>
      <c r="F473" s="9"/>
      <c r="G473" s="11"/>
      <c r="H473" s="11"/>
      <c r="I473" s="9"/>
      <c r="J473" s="12"/>
      <c r="K473" s="11"/>
      <c r="L473" s="9"/>
      <c r="N473" s="0" t="str">
        <f aca="false">IF(AND($J473&gt;0,$K473="",$A473&lt;&gt;""),SUMPRODUCT(($J$2:$J$600&gt;0)*($K$2:$K$600="")*($A$2:$A$600&lt;&gt;"")*((IF($G$2:$G$600="",99999999,$G$2:$G$600))&lt;IF($G473="",99999999,$G473)))+SUMPRODUCT(($J$2:$J473&gt;0)*($K$2:$K473="")*($A$2:$A473&lt;&gt;"")*((IF($G$2:$G473="",99999999,$G$2:$G473))=IF($G473="",99999999,$G473))),"")</f>
        <v/>
      </c>
      <c r="O473" s="0" t="str">
        <f aca="false">IF(AND($F473="Not Started",$A473&lt;&gt;""),SUMPRODUCT(($F$2:$F$600="Not Started")*($A$2:$A$600&lt;&gt;"")*((IF($G$2:$G$600="",99999999,$G$2:$G$600))&lt;IF($G473="",99999999,$G473)))+SUMPRODUCT(($F$2:$F473="Not Started")*($A$2:$A473&lt;&gt;"")*((IF($G$2:$G473="",99999999,$G$2:$G473))=IF($G473="",99999999,$G473))),"")</f>
        <v/>
      </c>
      <c r="P473" s="0" t="str">
        <f aca="false">IF(AND(OR($F473="In Progress",$F473="Pending Client Data",$F473="Under Review"),$A473&lt;&gt;""),SUMPRODUCT((($F$2:$F$600="In Progress")+($F$2:$F$600="Pending Client Data")+($F$2:$F$600="Under Review"))*($A$2:$A$600&lt;&gt;"")*((IF($G$2:$G$600="",99999999,$G$2:$G$600))&lt;IF($G473="",99999999,$G473)))+SUMPRODUCT((($F$2:$F473="In Progress")+($F$2:$F473="Pending Client Data")+($F$2:$F473="Under Review"))*($A$2:$A473&lt;&gt;"")*((IF($G$2:$G473="",99999999,$G$2:$G473))=IF($G473="",99999999,$G473))),"")</f>
        <v/>
      </c>
    </row>
    <row r="474" customFormat="false" ht="15" hidden="false" customHeight="false" outlineLevel="0" collapsed="false">
      <c r="A474" s="9"/>
      <c r="B474" s="9"/>
      <c r="C474" s="10" t="str">
        <f aca="false">IF($B474="","",IFERROR(INDEX('Client Master'!$C:$C,MATCH($B474,'Client Master'!$B:$B,0)),"Code not found"))</f>
        <v/>
      </c>
      <c r="D474" s="9"/>
      <c r="E474" s="9"/>
      <c r="F474" s="9"/>
      <c r="G474" s="11"/>
      <c r="H474" s="11"/>
      <c r="I474" s="9"/>
      <c r="J474" s="12"/>
      <c r="K474" s="11"/>
      <c r="L474" s="9"/>
      <c r="N474" s="0" t="str">
        <f aca="false">IF(AND($J474&gt;0,$K474="",$A474&lt;&gt;""),SUMPRODUCT(($J$2:$J$600&gt;0)*($K$2:$K$600="")*($A$2:$A$600&lt;&gt;"")*((IF($G$2:$G$600="",99999999,$G$2:$G$600))&lt;IF($G474="",99999999,$G474)))+SUMPRODUCT(($J$2:$J474&gt;0)*($K$2:$K474="")*($A$2:$A474&lt;&gt;"")*((IF($G$2:$G474="",99999999,$G$2:$G474))=IF($G474="",99999999,$G474))),"")</f>
        <v/>
      </c>
      <c r="O474" s="0" t="str">
        <f aca="false">IF(AND($F474="Not Started",$A474&lt;&gt;""),SUMPRODUCT(($F$2:$F$600="Not Started")*($A$2:$A$600&lt;&gt;"")*((IF($G$2:$G$600="",99999999,$G$2:$G$600))&lt;IF($G474="",99999999,$G474)))+SUMPRODUCT(($F$2:$F474="Not Started")*($A$2:$A474&lt;&gt;"")*((IF($G$2:$G474="",99999999,$G$2:$G474))=IF($G474="",99999999,$G474))),"")</f>
        <v/>
      </c>
      <c r="P474" s="0" t="str">
        <f aca="false">IF(AND(OR($F474="In Progress",$F474="Pending Client Data",$F474="Under Review"),$A474&lt;&gt;""),SUMPRODUCT((($F$2:$F$600="In Progress")+($F$2:$F$600="Pending Client Data")+($F$2:$F$600="Under Review"))*($A$2:$A$600&lt;&gt;"")*((IF($G$2:$G$600="",99999999,$G$2:$G$600))&lt;IF($G474="",99999999,$G474)))+SUMPRODUCT((($F$2:$F474="In Progress")+($F$2:$F474="Pending Client Data")+($F$2:$F474="Under Review"))*($A$2:$A474&lt;&gt;"")*((IF($G$2:$G474="",99999999,$G$2:$G474))=IF($G474="",99999999,$G474))),"")</f>
        <v/>
      </c>
    </row>
    <row r="475" customFormat="false" ht="15" hidden="false" customHeight="false" outlineLevel="0" collapsed="false">
      <c r="A475" s="9"/>
      <c r="B475" s="9"/>
      <c r="C475" s="10" t="str">
        <f aca="false">IF($B475="","",IFERROR(INDEX('Client Master'!$C:$C,MATCH($B475,'Client Master'!$B:$B,0)),"Code not found"))</f>
        <v/>
      </c>
      <c r="D475" s="9"/>
      <c r="E475" s="9"/>
      <c r="F475" s="9"/>
      <c r="G475" s="11"/>
      <c r="H475" s="11"/>
      <c r="I475" s="9"/>
      <c r="J475" s="12"/>
      <c r="K475" s="11"/>
      <c r="L475" s="9"/>
      <c r="N475" s="0" t="str">
        <f aca="false">IF(AND($J475&gt;0,$K475="",$A475&lt;&gt;""),SUMPRODUCT(($J$2:$J$600&gt;0)*($K$2:$K$600="")*($A$2:$A$600&lt;&gt;"")*((IF($G$2:$G$600="",99999999,$G$2:$G$600))&lt;IF($G475="",99999999,$G475)))+SUMPRODUCT(($J$2:$J475&gt;0)*($K$2:$K475="")*($A$2:$A475&lt;&gt;"")*((IF($G$2:$G475="",99999999,$G$2:$G475))=IF($G475="",99999999,$G475))),"")</f>
        <v/>
      </c>
      <c r="O475" s="0" t="str">
        <f aca="false">IF(AND($F475="Not Started",$A475&lt;&gt;""),SUMPRODUCT(($F$2:$F$600="Not Started")*($A$2:$A$600&lt;&gt;"")*((IF($G$2:$G$600="",99999999,$G$2:$G$600))&lt;IF($G475="",99999999,$G475)))+SUMPRODUCT(($F$2:$F475="Not Started")*($A$2:$A475&lt;&gt;"")*((IF($G$2:$G475="",99999999,$G$2:$G475))=IF($G475="",99999999,$G475))),"")</f>
        <v/>
      </c>
      <c r="P475" s="0" t="str">
        <f aca="false">IF(AND(OR($F475="In Progress",$F475="Pending Client Data",$F475="Under Review"),$A475&lt;&gt;""),SUMPRODUCT((($F$2:$F$600="In Progress")+($F$2:$F$600="Pending Client Data")+($F$2:$F$600="Under Review"))*($A$2:$A$600&lt;&gt;"")*((IF($G$2:$G$600="",99999999,$G$2:$G$600))&lt;IF($G475="",99999999,$G475)))+SUMPRODUCT((($F$2:$F475="In Progress")+($F$2:$F475="Pending Client Data")+($F$2:$F475="Under Review"))*($A$2:$A475&lt;&gt;"")*((IF($G$2:$G475="",99999999,$G$2:$G475))=IF($G475="",99999999,$G475))),"")</f>
        <v/>
      </c>
    </row>
    <row r="476" customFormat="false" ht="15" hidden="false" customHeight="false" outlineLevel="0" collapsed="false">
      <c r="A476" s="9"/>
      <c r="B476" s="9"/>
      <c r="C476" s="10" t="str">
        <f aca="false">IF($B476="","",IFERROR(INDEX('Client Master'!$C:$C,MATCH($B476,'Client Master'!$B:$B,0)),"Code not found"))</f>
        <v/>
      </c>
      <c r="D476" s="9"/>
      <c r="E476" s="9"/>
      <c r="F476" s="9"/>
      <c r="G476" s="11"/>
      <c r="H476" s="11"/>
      <c r="I476" s="9"/>
      <c r="J476" s="12"/>
      <c r="K476" s="11"/>
      <c r="L476" s="9"/>
      <c r="N476" s="0" t="str">
        <f aca="false">IF(AND($J476&gt;0,$K476="",$A476&lt;&gt;""),SUMPRODUCT(($J$2:$J$600&gt;0)*($K$2:$K$600="")*($A$2:$A$600&lt;&gt;"")*((IF($G$2:$G$600="",99999999,$G$2:$G$600))&lt;IF($G476="",99999999,$G476)))+SUMPRODUCT(($J$2:$J476&gt;0)*($K$2:$K476="")*($A$2:$A476&lt;&gt;"")*((IF($G$2:$G476="",99999999,$G$2:$G476))=IF($G476="",99999999,$G476))),"")</f>
        <v/>
      </c>
      <c r="O476" s="0" t="str">
        <f aca="false">IF(AND($F476="Not Started",$A476&lt;&gt;""),SUMPRODUCT(($F$2:$F$600="Not Started")*($A$2:$A$600&lt;&gt;"")*((IF($G$2:$G$600="",99999999,$G$2:$G$600))&lt;IF($G476="",99999999,$G476)))+SUMPRODUCT(($F$2:$F476="Not Started")*($A$2:$A476&lt;&gt;"")*((IF($G$2:$G476="",99999999,$G$2:$G476))=IF($G476="",99999999,$G476))),"")</f>
        <v/>
      </c>
      <c r="P476" s="0" t="str">
        <f aca="false">IF(AND(OR($F476="In Progress",$F476="Pending Client Data",$F476="Under Review"),$A476&lt;&gt;""),SUMPRODUCT((($F$2:$F$600="In Progress")+($F$2:$F$600="Pending Client Data")+($F$2:$F$600="Under Review"))*($A$2:$A$600&lt;&gt;"")*((IF($G$2:$G$600="",99999999,$G$2:$G$600))&lt;IF($G476="",99999999,$G476)))+SUMPRODUCT((($F$2:$F476="In Progress")+($F$2:$F476="Pending Client Data")+($F$2:$F476="Under Review"))*($A$2:$A476&lt;&gt;"")*((IF($G$2:$G476="",99999999,$G$2:$G476))=IF($G476="",99999999,$G476))),"")</f>
        <v/>
      </c>
    </row>
    <row r="477" customFormat="false" ht="15" hidden="false" customHeight="false" outlineLevel="0" collapsed="false">
      <c r="A477" s="9"/>
      <c r="B477" s="9"/>
      <c r="C477" s="10" t="str">
        <f aca="false">IF($B477="","",IFERROR(INDEX('Client Master'!$C:$C,MATCH($B477,'Client Master'!$B:$B,0)),"Code not found"))</f>
        <v/>
      </c>
      <c r="D477" s="9"/>
      <c r="E477" s="9"/>
      <c r="F477" s="9"/>
      <c r="G477" s="11"/>
      <c r="H477" s="11"/>
      <c r="I477" s="9"/>
      <c r="J477" s="12"/>
      <c r="K477" s="11"/>
      <c r="L477" s="9"/>
      <c r="N477" s="0" t="str">
        <f aca="false">IF(AND($J477&gt;0,$K477="",$A477&lt;&gt;""),SUMPRODUCT(($J$2:$J$600&gt;0)*($K$2:$K$600="")*($A$2:$A$600&lt;&gt;"")*((IF($G$2:$G$600="",99999999,$G$2:$G$600))&lt;IF($G477="",99999999,$G477)))+SUMPRODUCT(($J$2:$J477&gt;0)*($K$2:$K477="")*($A$2:$A477&lt;&gt;"")*((IF($G$2:$G477="",99999999,$G$2:$G477))=IF($G477="",99999999,$G477))),"")</f>
        <v/>
      </c>
      <c r="O477" s="0" t="str">
        <f aca="false">IF(AND($F477="Not Started",$A477&lt;&gt;""),SUMPRODUCT(($F$2:$F$600="Not Started")*($A$2:$A$600&lt;&gt;"")*((IF($G$2:$G$600="",99999999,$G$2:$G$600))&lt;IF($G477="",99999999,$G477)))+SUMPRODUCT(($F$2:$F477="Not Started")*($A$2:$A477&lt;&gt;"")*((IF($G$2:$G477="",99999999,$G$2:$G477))=IF($G477="",99999999,$G477))),"")</f>
        <v/>
      </c>
      <c r="P477" s="0" t="str">
        <f aca="false">IF(AND(OR($F477="In Progress",$F477="Pending Client Data",$F477="Under Review"),$A477&lt;&gt;""),SUMPRODUCT((($F$2:$F$600="In Progress")+($F$2:$F$600="Pending Client Data")+($F$2:$F$600="Under Review"))*($A$2:$A$600&lt;&gt;"")*((IF($G$2:$G$600="",99999999,$G$2:$G$600))&lt;IF($G477="",99999999,$G477)))+SUMPRODUCT((($F$2:$F477="In Progress")+($F$2:$F477="Pending Client Data")+($F$2:$F477="Under Review"))*($A$2:$A477&lt;&gt;"")*((IF($G$2:$G477="",99999999,$G$2:$G477))=IF($G477="",99999999,$G477))),"")</f>
        <v/>
      </c>
    </row>
    <row r="478" customFormat="false" ht="15" hidden="false" customHeight="false" outlineLevel="0" collapsed="false">
      <c r="A478" s="9"/>
      <c r="B478" s="9"/>
      <c r="C478" s="10" t="str">
        <f aca="false">IF($B478="","",IFERROR(INDEX('Client Master'!$C:$C,MATCH($B478,'Client Master'!$B:$B,0)),"Code not found"))</f>
        <v/>
      </c>
      <c r="D478" s="9"/>
      <c r="E478" s="9"/>
      <c r="F478" s="9"/>
      <c r="G478" s="11"/>
      <c r="H478" s="11"/>
      <c r="I478" s="9"/>
      <c r="J478" s="12"/>
      <c r="K478" s="11"/>
      <c r="L478" s="9"/>
      <c r="N478" s="0" t="str">
        <f aca="false">IF(AND($J478&gt;0,$K478="",$A478&lt;&gt;""),SUMPRODUCT(($J$2:$J$600&gt;0)*($K$2:$K$600="")*($A$2:$A$600&lt;&gt;"")*((IF($G$2:$G$600="",99999999,$G$2:$G$600))&lt;IF($G478="",99999999,$G478)))+SUMPRODUCT(($J$2:$J478&gt;0)*($K$2:$K478="")*($A$2:$A478&lt;&gt;"")*((IF($G$2:$G478="",99999999,$G$2:$G478))=IF($G478="",99999999,$G478))),"")</f>
        <v/>
      </c>
      <c r="O478" s="0" t="str">
        <f aca="false">IF(AND($F478="Not Started",$A478&lt;&gt;""),SUMPRODUCT(($F$2:$F$600="Not Started")*($A$2:$A$600&lt;&gt;"")*((IF($G$2:$G$600="",99999999,$G$2:$G$600))&lt;IF($G478="",99999999,$G478)))+SUMPRODUCT(($F$2:$F478="Not Started")*($A$2:$A478&lt;&gt;"")*((IF($G$2:$G478="",99999999,$G$2:$G478))=IF($G478="",99999999,$G478))),"")</f>
        <v/>
      </c>
      <c r="P478" s="0" t="str">
        <f aca="false">IF(AND(OR($F478="In Progress",$F478="Pending Client Data",$F478="Under Review"),$A478&lt;&gt;""),SUMPRODUCT((($F$2:$F$600="In Progress")+($F$2:$F$600="Pending Client Data")+($F$2:$F$600="Under Review"))*($A$2:$A$600&lt;&gt;"")*((IF($G$2:$G$600="",99999999,$G$2:$G$600))&lt;IF($G478="",99999999,$G478)))+SUMPRODUCT((($F$2:$F478="In Progress")+($F$2:$F478="Pending Client Data")+($F$2:$F478="Under Review"))*($A$2:$A478&lt;&gt;"")*((IF($G$2:$G478="",99999999,$G$2:$G478))=IF($G478="",99999999,$G478))),"")</f>
        <v/>
      </c>
    </row>
    <row r="479" customFormat="false" ht="15" hidden="false" customHeight="false" outlineLevel="0" collapsed="false">
      <c r="A479" s="9"/>
      <c r="B479" s="9"/>
      <c r="C479" s="10" t="str">
        <f aca="false">IF($B479="","",IFERROR(INDEX('Client Master'!$C:$C,MATCH($B479,'Client Master'!$B:$B,0)),"Code not found"))</f>
        <v/>
      </c>
      <c r="D479" s="9"/>
      <c r="E479" s="9"/>
      <c r="F479" s="9"/>
      <c r="G479" s="11"/>
      <c r="H479" s="11"/>
      <c r="I479" s="9"/>
      <c r="J479" s="12"/>
      <c r="K479" s="11"/>
      <c r="L479" s="9"/>
      <c r="N479" s="0" t="str">
        <f aca="false">IF(AND($J479&gt;0,$K479="",$A479&lt;&gt;""),SUMPRODUCT(($J$2:$J$600&gt;0)*($K$2:$K$600="")*($A$2:$A$600&lt;&gt;"")*((IF($G$2:$G$600="",99999999,$G$2:$G$600))&lt;IF($G479="",99999999,$G479)))+SUMPRODUCT(($J$2:$J479&gt;0)*($K$2:$K479="")*($A$2:$A479&lt;&gt;"")*((IF($G$2:$G479="",99999999,$G$2:$G479))=IF($G479="",99999999,$G479))),"")</f>
        <v/>
      </c>
      <c r="O479" s="0" t="str">
        <f aca="false">IF(AND($F479="Not Started",$A479&lt;&gt;""),SUMPRODUCT(($F$2:$F$600="Not Started")*($A$2:$A$600&lt;&gt;"")*((IF($G$2:$G$600="",99999999,$G$2:$G$600))&lt;IF($G479="",99999999,$G479)))+SUMPRODUCT(($F$2:$F479="Not Started")*($A$2:$A479&lt;&gt;"")*((IF($G$2:$G479="",99999999,$G$2:$G479))=IF($G479="",99999999,$G479))),"")</f>
        <v/>
      </c>
      <c r="P479" s="0" t="str">
        <f aca="false">IF(AND(OR($F479="In Progress",$F479="Pending Client Data",$F479="Under Review"),$A479&lt;&gt;""),SUMPRODUCT((($F$2:$F$600="In Progress")+($F$2:$F$600="Pending Client Data")+($F$2:$F$600="Under Review"))*($A$2:$A$600&lt;&gt;"")*((IF($G$2:$G$600="",99999999,$G$2:$G$600))&lt;IF($G479="",99999999,$G479)))+SUMPRODUCT((($F$2:$F479="In Progress")+($F$2:$F479="Pending Client Data")+($F$2:$F479="Under Review"))*($A$2:$A479&lt;&gt;"")*((IF($G$2:$G479="",99999999,$G$2:$G479))=IF($G479="",99999999,$G479))),"")</f>
        <v/>
      </c>
    </row>
    <row r="480" customFormat="false" ht="15" hidden="false" customHeight="false" outlineLevel="0" collapsed="false">
      <c r="A480" s="9"/>
      <c r="B480" s="9"/>
      <c r="C480" s="10" t="str">
        <f aca="false">IF($B480="","",IFERROR(INDEX('Client Master'!$C:$C,MATCH($B480,'Client Master'!$B:$B,0)),"Code not found"))</f>
        <v/>
      </c>
      <c r="D480" s="9"/>
      <c r="E480" s="9"/>
      <c r="F480" s="9"/>
      <c r="G480" s="11"/>
      <c r="H480" s="11"/>
      <c r="I480" s="9"/>
      <c r="J480" s="12"/>
      <c r="K480" s="11"/>
      <c r="L480" s="9"/>
      <c r="N480" s="0" t="str">
        <f aca="false">IF(AND($J480&gt;0,$K480="",$A480&lt;&gt;""),SUMPRODUCT(($J$2:$J$600&gt;0)*($K$2:$K$600="")*($A$2:$A$600&lt;&gt;"")*((IF($G$2:$G$600="",99999999,$G$2:$G$600))&lt;IF($G480="",99999999,$G480)))+SUMPRODUCT(($J$2:$J480&gt;0)*($K$2:$K480="")*($A$2:$A480&lt;&gt;"")*((IF($G$2:$G480="",99999999,$G$2:$G480))=IF($G480="",99999999,$G480))),"")</f>
        <v/>
      </c>
      <c r="O480" s="0" t="str">
        <f aca="false">IF(AND($F480="Not Started",$A480&lt;&gt;""),SUMPRODUCT(($F$2:$F$600="Not Started")*($A$2:$A$600&lt;&gt;"")*((IF($G$2:$G$600="",99999999,$G$2:$G$600))&lt;IF($G480="",99999999,$G480)))+SUMPRODUCT(($F$2:$F480="Not Started")*($A$2:$A480&lt;&gt;"")*((IF($G$2:$G480="",99999999,$G$2:$G480))=IF($G480="",99999999,$G480))),"")</f>
        <v/>
      </c>
      <c r="P480" s="0" t="str">
        <f aca="false">IF(AND(OR($F480="In Progress",$F480="Pending Client Data",$F480="Under Review"),$A480&lt;&gt;""),SUMPRODUCT((($F$2:$F$600="In Progress")+($F$2:$F$600="Pending Client Data")+($F$2:$F$600="Under Review"))*($A$2:$A$600&lt;&gt;"")*((IF($G$2:$G$600="",99999999,$G$2:$G$600))&lt;IF($G480="",99999999,$G480)))+SUMPRODUCT((($F$2:$F480="In Progress")+($F$2:$F480="Pending Client Data")+($F$2:$F480="Under Review"))*($A$2:$A480&lt;&gt;"")*((IF($G$2:$G480="",99999999,$G$2:$G480))=IF($G480="",99999999,$G480))),"")</f>
        <v/>
      </c>
    </row>
    <row r="481" customFormat="false" ht="15" hidden="false" customHeight="false" outlineLevel="0" collapsed="false">
      <c r="A481" s="9"/>
      <c r="B481" s="9"/>
      <c r="C481" s="10" t="str">
        <f aca="false">IF($B481="","",IFERROR(INDEX('Client Master'!$C:$C,MATCH($B481,'Client Master'!$B:$B,0)),"Code not found"))</f>
        <v/>
      </c>
      <c r="D481" s="9"/>
      <c r="E481" s="9"/>
      <c r="F481" s="9"/>
      <c r="G481" s="11"/>
      <c r="H481" s="11"/>
      <c r="I481" s="9"/>
      <c r="J481" s="12"/>
      <c r="K481" s="11"/>
      <c r="L481" s="9"/>
      <c r="N481" s="0" t="str">
        <f aca="false">IF(AND($J481&gt;0,$K481="",$A481&lt;&gt;""),SUMPRODUCT(($J$2:$J$600&gt;0)*($K$2:$K$600="")*($A$2:$A$600&lt;&gt;"")*((IF($G$2:$G$600="",99999999,$G$2:$G$600))&lt;IF($G481="",99999999,$G481)))+SUMPRODUCT(($J$2:$J481&gt;0)*($K$2:$K481="")*($A$2:$A481&lt;&gt;"")*((IF($G$2:$G481="",99999999,$G$2:$G481))=IF($G481="",99999999,$G481))),"")</f>
        <v/>
      </c>
      <c r="O481" s="0" t="str">
        <f aca="false">IF(AND($F481="Not Started",$A481&lt;&gt;""),SUMPRODUCT(($F$2:$F$600="Not Started")*($A$2:$A$600&lt;&gt;"")*((IF($G$2:$G$600="",99999999,$G$2:$G$600))&lt;IF($G481="",99999999,$G481)))+SUMPRODUCT(($F$2:$F481="Not Started")*($A$2:$A481&lt;&gt;"")*((IF($G$2:$G481="",99999999,$G$2:$G481))=IF($G481="",99999999,$G481))),"")</f>
        <v/>
      </c>
      <c r="P481" s="0" t="str">
        <f aca="false">IF(AND(OR($F481="In Progress",$F481="Pending Client Data",$F481="Under Review"),$A481&lt;&gt;""),SUMPRODUCT((($F$2:$F$600="In Progress")+($F$2:$F$600="Pending Client Data")+($F$2:$F$600="Under Review"))*($A$2:$A$600&lt;&gt;"")*((IF($G$2:$G$600="",99999999,$G$2:$G$600))&lt;IF($G481="",99999999,$G481)))+SUMPRODUCT((($F$2:$F481="In Progress")+($F$2:$F481="Pending Client Data")+($F$2:$F481="Under Review"))*($A$2:$A481&lt;&gt;"")*((IF($G$2:$G481="",99999999,$G$2:$G481))=IF($G481="",99999999,$G481))),"")</f>
        <v/>
      </c>
    </row>
    <row r="482" customFormat="false" ht="15" hidden="false" customHeight="false" outlineLevel="0" collapsed="false">
      <c r="A482" s="9"/>
      <c r="B482" s="9"/>
      <c r="C482" s="10" t="str">
        <f aca="false">IF($B482="","",IFERROR(INDEX('Client Master'!$C:$C,MATCH($B482,'Client Master'!$B:$B,0)),"Code not found"))</f>
        <v/>
      </c>
      <c r="D482" s="9"/>
      <c r="E482" s="9"/>
      <c r="F482" s="9"/>
      <c r="G482" s="11"/>
      <c r="H482" s="11"/>
      <c r="I482" s="9"/>
      <c r="J482" s="12"/>
      <c r="K482" s="11"/>
      <c r="L482" s="9"/>
      <c r="N482" s="0" t="str">
        <f aca="false">IF(AND($J482&gt;0,$K482="",$A482&lt;&gt;""),SUMPRODUCT(($J$2:$J$600&gt;0)*($K$2:$K$600="")*($A$2:$A$600&lt;&gt;"")*((IF($G$2:$G$600="",99999999,$G$2:$G$600))&lt;IF($G482="",99999999,$G482)))+SUMPRODUCT(($J$2:$J482&gt;0)*($K$2:$K482="")*($A$2:$A482&lt;&gt;"")*((IF($G$2:$G482="",99999999,$G$2:$G482))=IF($G482="",99999999,$G482))),"")</f>
        <v/>
      </c>
      <c r="O482" s="0" t="str">
        <f aca="false">IF(AND($F482="Not Started",$A482&lt;&gt;""),SUMPRODUCT(($F$2:$F$600="Not Started")*($A$2:$A$600&lt;&gt;"")*((IF($G$2:$G$600="",99999999,$G$2:$G$600))&lt;IF($G482="",99999999,$G482)))+SUMPRODUCT(($F$2:$F482="Not Started")*($A$2:$A482&lt;&gt;"")*((IF($G$2:$G482="",99999999,$G$2:$G482))=IF($G482="",99999999,$G482))),"")</f>
        <v/>
      </c>
      <c r="P482" s="0" t="str">
        <f aca="false">IF(AND(OR($F482="In Progress",$F482="Pending Client Data",$F482="Under Review"),$A482&lt;&gt;""),SUMPRODUCT((($F$2:$F$600="In Progress")+($F$2:$F$600="Pending Client Data")+($F$2:$F$600="Under Review"))*($A$2:$A$600&lt;&gt;"")*((IF($G$2:$G$600="",99999999,$G$2:$G$600))&lt;IF($G482="",99999999,$G482)))+SUMPRODUCT((($F$2:$F482="In Progress")+($F$2:$F482="Pending Client Data")+($F$2:$F482="Under Review"))*($A$2:$A482&lt;&gt;"")*((IF($G$2:$G482="",99999999,$G$2:$G482))=IF($G482="",99999999,$G482))),"")</f>
        <v/>
      </c>
    </row>
    <row r="483" customFormat="false" ht="15" hidden="false" customHeight="false" outlineLevel="0" collapsed="false">
      <c r="A483" s="9"/>
      <c r="B483" s="9"/>
      <c r="C483" s="10" t="str">
        <f aca="false">IF($B483="","",IFERROR(INDEX('Client Master'!$C:$C,MATCH($B483,'Client Master'!$B:$B,0)),"Code not found"))</f>
        <v/>
      </c>
      <c r="D483" s="9"/>
      <c r="E483" s="9"/>
      <c r="F483" s="9"/>
      <c r="G483" s="11"/>
      <c r="H483" s="11"/>
      <c r="I483" s="9"/>
      <c r="J483" s="12"/>
      <c r="K483" s="11"/>
      <c r="L483" s="9"/>
      <c r="N483" s="0" t="str">
        <f aca="false">IF(AND($J483&gt;0,$K483="",$A483&lt;&gt;""),SUMPRODUCT(($J$2:$J$600&gt;0)*($K$2:$K$600="")*($A$2:$A$600&lt;&gt;"")*((IF($G$2:$G$600="",99999999,$G$2:$G$600))&lt;IF($G483="",99999999,$G483)))+SUMPRODUCT(($J$2:$J483&gt;0)*($K$2:$K483="")*($A$2:$A483&lt;&gt;"")*((IF($G$2:$G483="",99999999,$G$2:$G483))=IF($G483="",99999999,$G483))),"")</f>
        <v/>
      </c>
      <c r="O483" s="0" t="str">
        <f aca="false">IF(AND($F483="Not Started",$A483&lt;&gt;""),SUMPRODUCT(($F$2:$F$600="Not Started")*($A$2:$A$600&lt;&gt;"")*((IF($G$2:$G$600="",99999999,$G$2:$G$600))&lt;IF($G483="",99999999,$G483)))+SUMPRODUCT(($F$2:$F483="Not Started")*($A$2:$A483&lt;&gt;"")*((IF($G$2:$G483="",99999999,$G$2:$G483))=IF($G483="",99999999,$G483))),"")</f>
        <v/>
      </c>
      <c r="P483" s="0" t="str">
        <f aca="false">IF(AND(OR($F483="In Progress",$F483="Pending Client Data",$F483="Under Review"),$A483&lt;&gt;""),SUMPRODUCT((($F$2:$F$600="In Progress")+($F$2:$F$600="Pending Client Data")+($F$2:$F$600="Under Review"))*($A$2:$A$600&lt;&gt;"")*((IF($G$2:$G$600="",99999999,$G$2:$G$600))&lt;IF($G483="",99999999,$G483)))+SUMPRODUCT((($F$2:$F483="In Progress")+($F$2:$F483="Pending Client Data")+($F$2:$F483="Under Review"))*($A$2:$A483&lt;&gt;"")*((IF($G$2:$G483="",99999999,$G$2:$G483))=IF($G483="",99999999,$G483))),"")</f>
        <v/>
      </c>
    </row>
    <row r="484" customFormat="false" ht="15" hidden="false" customHeight="false" outlineLevel="0" collapsed="false">
      <c r="A484" s="9"/>
      <c r="B484" s="9"/>
      <c r="C484" s="10" t="str">
        <f aca="false">IF($B484="","",IFERROR(INDEX('Client Master'!$C:$C,MATCH($B484,'Client Master'!$B:$B,0)),"Code not found"))</f>
        <v/>
      </c>
      <c r="D484" s="9"/>
      <c r="E484" s="9"/>
      <c r="F484" s="9"/>
      <c r="G484" s="11"/>
      <c r="H484" s="11"/>
      <c r="I484" s="9"/>
      <c r="J484" s="12"/>
      <c r="K484" s="11"/>
      <c r="L484" s="9"/>
      <c r="N484" s="0" t="str">
        <f aca="false">IF(AND($J484&gt;0,$K484="",$A484&lt;&gt;""),SUMPRODUCT(($J$2:$J$600&gt;0)*($K$2:$K$600="")*($A$2:$A$600&lt;&gt;"")*((IF($G$2:$G$600="",99999999,$G$2:$G$600))&lt;IF($G484="",99999999,$G484)))+SUMPRODUCT(($J$2:$J484&gt;0)*($K$2:$K484="")*($A$2:$A484&lt;&gt;"")*((IF($G$2:$G484="",99999999,$G$2:$G484))=IF($G484="",99999999,$G484))),"")</f>
        <v/>
      </c>
      <c r="O484" s="0" t="str">
        <f aca="false">IF(AND($F484="Not Started",$A484&lt;&gt;""),SUMPRODUCT(($F$2:$F$600="Not Started")*($A$2:$A$600&lt;&gt;"")*((IF($G$2:$G$600="",99999999,$G$2:$G$600))&lt;IF($G484="",99999999,$G484)))+SUMPRODUCT(($F$2:$F484="Not Started")*($A$2:$A484&lt;&gt;"")*((IF($G$2:$G484="",99999999,$G$2:$G484))=IF($G484="",99999999,$G484))),"")</f>
        <v/>
      </c>
      <c r="P484" s="0" t="str">
        <f aca="false">IF(AND(OR($F484="In Progress",$F484="Pending Client Data",$F484="Under Review"),$A484&lt;&gt;""),SUMPRODUCT((($F$2:$F$600="In Progress")+($F$2:$F$600="Pending Client Data")+($F$2:$F$600="Under Review"))*($A$2:$A$600&lt;&gt;"")*((IF($G$2:$G$600="",99999999,$G$2:$G$600))&lt;IF($G484="",99999999,$G484)))+SUMPRODUCT((($F$2:$F484="In Progress")+($F$2:$F484="Pending Client Data")+($F$2:$F484="Under Review"))*($A$2:$A484&lt;&gt;"")*((IF($G$2:$G484="",99999999,$G$2:$G484))=IF($G484="",99999999,$G484))),"")</f>
        <v/>
      </c>
    </row>
    <row r="485" customFormat="false" ht="15" hidden="false" customHeight="false" outlineLevel="0" collapsed="false">
      <c r="A485" s="9"/>
      <c r="B485" s="9"/>
      <c r="C485" s="10" t="str">
        <f aca="false">IF($B485="","",IFERROR(INDEX('Client Master'!$C:$C,MATCH($B485,'Client Master'!$B:$B,0)),"Code not found"))</f>
        <v/>
      </c>
      <c r="D485" s="9"/>
      <c r="E485" s="9"/>
      <c r="F485" s="9"/>
      <c r="G485" s="11"/>
      <c r="H485" s="11"/>
      <c r="I485" s="9"/>
      <c r="J485" s="12"/>
      <c r="K485" s="11"/>
      <c r="L485" s="9"/>
      <c r="N485" s="0" t="str">
        <f aca="false">IF(AND($J485&gt;0,$K485="",$A485&lt;&gt;""),SUMPRODUCT(($J$2:$J$600&gt;0)*($K$2:$K$600="")*($A$2:$A$600&lt;&gt;"")*((IF($G$2:$G$600="",99999999,$G$2:$G$600))&lt;IF($G485="",99999999,$G485)))+SUMPRODUCT(($J$2:$J485&gt;0)*($K$2:$K485="")*($A$2:$A485&lt;&gt;"")*((IF($G$2:$G485="",99999999,$G$2:$G485))=IF($G485="",99999999,$G485))),"")</f>
        <v/>
      </c>
      <c r="O485" s="0" t="str">
        <f aca="false">IF(AND($F485="Not Started",$A485&lt;&gt;""),SUMPRODUCT(($F$2:$F$600="Not Started")*($A$2:$A$600&lt;&gt;"")*((IF($G$2:$G$600="",99999999,$G$2:$G$600))&lt;IF($G485="",99999999,$G485)))+SUMPRODUCT(($F$2:$F485="Not Started")*($A$2:$A485&lt;&gt;"")*((IF($G$2:$G485="",99999999,$G$2:$G485))=IF($G485="",99999999,$G485))),"")</f>
        <v/>
      </c>
      <c r="P485" s="0" t="str">
        <f aca="false">IF(AND(OR($F485="In Progress",$F485="Pending Client Data",$F485="Under Review"),$A485&lt;&gt;""),SUMPRODUCT((($F$2:$F$600="In Progress")+($F$2:$F$600="Pending Client Data")+($F$2:$F$600="Under Review"))*($A$2:$A$600&lt;&gt;"")*((IF($G$2:$G$600="",99999999,$G$2:$G$600))&lt;IF($G485="",99999999,$G485)))+SUMPRODUCT((($F$2:$F485="In Progress")+($F$2:$F485="Pending Client Data")+($F$2:$F485="Under Review"))*($A$2:$A485&lt;&gt;"")*((IF($G$2:$G485="",99999999,$G$2:$G485))=IF($G485="",99999999,$G485))),"")</f>
        <v/>
      </c>
    </row>
    <row r="486" customFormat="false" ht="15" hidden="false" customHeight="false" outlineLevel="0" collapsed="false">
      <c r="A486" s="9"/>
      <c r="B486" s="9"/>
      <c r="C486" s="10" t="str">
        <f aca="false">IF($B486="","",IFERROR(INDEX('Client Master'!$C:$C,MATCH($B486,'Client Master'!$B:$B,0)),"Code not found"))</f>
        <v/>
      </c>
      <c r="D486" s="9"/>
      <c r="E486" s="9"/>
      <c r="F486" s="9"/>
      <c r="G486" s="11"/>
      <c r="H486" s="11"/>
      <c r="I486" s="9"/>
      <c r="J486" s="12"/>
      <c r="K486" s="11"/>
      <c r="L486" s="9"/>
      <c r="N486" s="0" t="str">
        <f aca="false">IF(AND($J486&gt;0,$K486="",$A486&lt;&gt;""),SUMPRODUCT(($J$2:$J$600&gt;0)*($K$2:$K$600="")*($A$2:$A$600&lt;&gt;"")*((IF($G$2:$G$600="",99999999,$G$2:$G$600))&lt;IF($G486="",99999999,$G486)))+SUMPRODUCT(($J$2:$J486&gt;0)*($K$2:$K486="")*($A$2:$A486&lt;&gt;"")*((IF($G$2:$G486="",99999999,$G$2:$G486))=IF($G486="",99999999,$G486))),"")</f>
        <v/>
      </c>
      <c r="O486" s="0" t="str">
        <f aca="false">IF(AND($F486="Not Started",$A486&lt;&gt;""),SUMPRODUCT(($F$2:$F$600="Not Started")*($A$2:$A$600&lt;&gt;"")*((IF($G$2:$G$600="",99999999,$G$2:$G$600))&lt;IF($G486="",99999999,$G486)))+SUMPRODUCT(($F$2:$F486="Not Started")*($A$2:$A486&lt;&gt;"")*((IF($G$2:$G486="",99999999,$G$2:$G486))=IF($G486="",99999999,$G486))),"")</f>
        <v/>
      </c>
      <c r="P486" s="0" t="str">
        <f aca="false">IF(AND(OR($F486="In Progress",$F486="Pending Client Data",$F486="Under Review"),$A486&lt;&gt;""),SUMPRODUCT((($F$2:$F$600="In Progress")+($F$2:$F$600="Pending Client Data")+($F$2:$F$600="Under Review"))*($A$2:$A$600&lt;&gt;"")*((IF($G$2:$G$600="",99999999,$G$2:$G$600))&lt;IF($G486="",99999999,$G486)))+SUMPRODUCT((($F$2:$F486="In Progress")+($F$2:$F486="Pending Client Data")+($F$2:$F486="Under Review"))*($A$2:$A486&lt;&gt;"")*((IF($G$2:$G486="",99999999,$G$2:$G486))=IF($G486="",99999999,$G486))),"")</f>
        <v/>
      </c>
    </row>
    <row r="487" customFormat="false" ht="15" hidden="false" customHeight="false" outlineLevel="0" collapsed="false">
      <c r="A487" s="9"/>
      <c r="B487" s="9"/>
      <c r="C487" s="10" t="str">
        <f aca="false">IF($B487="","",IFERROR(INDEX('Client Master'!$C:$C,MATCH($B487,'Client Master'!$B:$B,0)),"Code not found"))</f>
        <v/>
      </c>
      <c r="D487" s="9"/>
      <c r="E487" s="9"/>
      <c r="F487" s="9"/>
      <c r="G487" s="11"/>
      <c r="H487" s="11"/>
      <c r="I487" s="9"/>
      <c r="J487" s="12"/>
      <c r="K487" s="11"/>
      <c r="L487" s="9"/>
      <c r="N487" s="0" t="str">
        <f aca="false">IF(AND($J487&gt;0,$K487="",$A487&lt;&gt;""),SUMPRODUCT(($J$2:$J$600&gt;0)*($K$2:$K$600="")*($A$2:$A$600&lt;&gt;"")*((IF($G$2:$G$600="",99999999,$G$2:$G$600))&lt;IF($G487="",99999999,$G487)))+SUMPRODUCT(($J$2:$J487&gt;0)*($K$2:$K487="")*($A$2:$A487&lt;&gt;"")*((IF($G$2:$G487="",99999999,$G$2:$G487))=IF($G487="",99999999,$G487))),"")</f>
        <v/>
      </c>
      <c r="O487" s="0" t="str">
        <f aca="false">IF(AND($F487="Not Started",$A487&lt;&gt;""),SUMPRODUCT(($F$2:$F$600="Not Started")*($A$2:$A$600&lt;&gt;"")*((IF($G$2:$G$600="",99999999,$G$2:$G$600))&lt;IF($G487="",99999999,$G487)))+SUMPRODUCT(($F$2:$F487="Not Started")*($A$2:$A487&lt;&gt;"")*((IF($G$2:$G487="",99999999,$G$2:$G487))=IF($G487="",99999999,$G487))),"")</f>
        <v/>
      </c>
      <c r="P487" s="0" t="str">
        <f aca="false">IF(AND(OR($F487="In Progress",$F487="Pending Client Data",$F487="Under Review"),$A487&lt;&gt;""),SUMPRODUCT((($F$2:$F$600="In Progress")+($F$2:$F$600="Pending Client Data")+($F$2:$F$600="Under Review"))*($A$2:$A$600&lt;&gt;"")*((IF($G$2:$G$600="",99999999,$G$2:$G$600))&lt;IF($G487="",99999999,$G487)))+SUMPRODUCT((($F$2:$F487="In Progress")+($F$2:$F487="Pending Client Data")+($F$2:$F487="Under Review"))*($A$2:$A487&lt;&gt;"")*((IF($G$2:$G487="",99999999,$G$2:$G487))=IF($G487="",99999999,$G487))),"")</f>
        <v/>
      </c>
    </row>
    <row r="488" customFormat="false" ht="15" hidden="false" customHeight="false" outlineLevel="0" collapsed="false">
      <c r="A488" s="9"/>
      <c r="B488" s="9"/>
      <c r="C488" s="10" t="str">
        <f aca="false">IF($B488="","",IFERROR(INDEX('Client Master'!$C:$C,MATCH($B488,'Client Master'!$B:$B,0)),"Code not found"))</f>
        <v/>
      </c>
      <c r="D488" s="9"/>
      <c r="E488" s="9"/>
      <c r="F488" s="9"/>
      <c r="G488" s="11"/>
      <c r="H488" s="11"/>
      <c r="I488" s="9"/>
      <c r="J488" s="12"/>
      <c r="K488" s="11"/>
      <c r="L488" s="9"/>
      <c r="N488" s="0" t="str">
        <f aca="false">IF(AND($J488&gt;0,$K488="",$A488&lt;&gt;""),SUMPRODUCT(($J$2:$J$600&gt;0)*($K$2:$K$600="")*($A$2:$A$600&lt;&gt;"")*((IF($G$2:$G$600="",99999999,$G$2:$G$600))&lt;IF($G488="",99999999,$G488)))+SUMPRODUCT(($J$2:$J488&gt;0)*($K$2:$K488="")*($A$2:$A488&lt;&gt;"")*((IF($G$2:$G488="",99999999,$G$2:$G488))=IF($G488="",99999999,$G488))),"")</f>
        <v/>
      </c>
      <c r="O488" s="0" t="str">
        <f aca="false">IF(AND($F488="Not Started",$A488&lt;&gt;""),SUMPRODUCT(($F$2:$F$600="Not Started")*($A$2:$A$600&lt;&gt;"")*((IF($G$2:$G$600="",99999999,$G$2:$G$600))&lt;IF($G488="",99999999,$G488)))+SUMPRODUCT(($F$2:$F488="Not Started")*($A$2:$A488&lt;&gt;"")*((IF($G$2:$G488="",99999999,$G$2:$G488))=IF($G488="",99999999,$G488))),"")</f>
        <v/>
      </c>
      <c r="P488" s="0" t="str">
        <f aca="false">IF(AND(OR($F488="In Progress",$F488="Pending Client Data",$F488="Under Review"),$A488&lt;&gt;""),SUMPRODUCT((($F$2:$F$600="In Progress")+($F$2:$F$600="Pending Client Data")+($F$2:$F$600="Under Review"))*($A$2:$A$600&lt;&gt;"")*((IF($G$2:$G$600="",99999999,$G$2:$G$600))&lt;IF($G488="",99999999,$G488)))+SUMPRODUCT((($F$2:$F488="In Progress")+($F$2:$F488="Pending Client Data")+($F$2:$F488="Under Review"))*($A$2:$A488&lt;&gt;"")*((IF($G$2:$G488="",99999999,$G$2:$G488))=IF($G488="",99999999,$G488))),"")</f>
        <v/>
      </c>
    </row>
    <row r="489" customFormat="false" ht="15" hidden="false" customHeight="false" outlineLevel="0" collapsed="false">
      <c r="A489" s="9"/>
      <c r="B489" s="9"/>
      <c r="C489" s="10" t="str">
        <f aca="false">IF($B489="","",IFERROR(INDEX('Client Master'!$C:$C,MATCH($B489,'Client Master'!$B:$B,0)),"Code not found"))</f>
        <v/>
      </c>
      <c r="D489" s="9"/>
      <c r="E489" s="9"/>
      <c r="F489" s="9"/>
      <c r="G489" s="11"/>
      <c r="H489" s="11"/>
      <c r="I489" s="9"/>
      <c r="J489" s="12"/>
      <c r="K489" s="11"/>
      <c r="L489" s="9"/>
      <c r="N489" s="0" t="str">
        <f aca="false">IF(AND($J489&gt;0,$K489="",$A489&lt;&gt;""),SUMPRODUCT(($J$2:$J$600&gt;0)*($K$2:$K$600="")*($A$2:$A$600&lt;&gt;"")*((IF($G$2:$G$600="",99999999,$G$2:$G$600))&lt;IF($G489="",99999999,$G489)))+SUMPRODUCT(($J$2:$J489&gt;0)*($K$2:$K489="")*($A$2:$A489&lt;&gt;"")*((IF($G$2:$G489="",99999999,$G$2:$G489))=IF($G489="",99999999,$G489))),"")</f>
        <v/>
      </c>
      <c r="O489" s="0" t="str">
        <f aca="false">IF(AND($F489="Not Started",$A489&lt;&gt;""),SUMPRODUCT(($F$2:$F$600="Not Started")*($A$2:$A$600&lt;&gt;"")*((IF($G$2:$G$600="",99999999,$G$2:$G$600))&lt;IF($G489="",99999999,$G489)))+SUMPRODUCT(($F$2:$F489="Not Started")*($A$2:$A489&lt;&gt;"")*((IF($G$2:$G489="",99999999,$G$2:$G489))=IF($G489="",99999999,$G489))),"")</f>
        <v/>
      </c>
      <c r="P489" s="0" t="str">
        <f aca="false">IF(AND(OR($F489="In Progress",$F489="Pending Client Data",$F489="Under Review"),$A489&lt;&gt;""),SUMPRODUCT((($F$2:$F$600="In Progress")+($F$2:$F$600="Pending Client Data")+($F$2:$F$600="Under Review"))*($A$2:$A$600&lt;&gt;"")*((IF($G$2:$G$600="",99999999,$G$2:$G$600))&lt;IF($G489="",99999999,$G489)))+SUMPRODUCT((($F$2:$F489="In Progress")+($F$2:$F489="Pending Client Data")+($F$2:$F489="Under Review"))*($A$2:$A489&lt;&gt;"")*((IF($G$2:$G489="",99999999,$G$2:$G489))=IF($G489="",99999999,$G489))),"")</f>
        <v/>
      </c>
    </row>
    <row r="490" customFormat="false" ht="15" hidden="false" customHeight="false" outlineLevel="0" collapsed="false">
      <c r="A490" s="9"/>
      <c r="B490" s="9"/>
      <c r="C490" s="10" t="str">
        <f aca="false">IF($B490="","",IFERROR(INDEX('Client Master'!$C:$C,MATCH($B490,'Client Master'!$B:$B,0)),"Code not found"))</f>
        <v/>
      </c>
      <c r="D490" s="9"/>
      <c r="E490" s="9"/>
      <c r="F490" s="9"/>
      <c r="G490" s="11"/>
      <c r="H490" s="11"/>
      <c r="I490" s="9"/>
      <c r="J490" s="12"/>
      <c r="K490" s="11"/>
      <c r="L490" s="9"/>
      <c r="N490" s="0" t="str">
        <f aca="false">IF(AND($J490&gt;0,$K490="",$A490&lt;&gt;""),SUMPRODUCT(($J$2:$J$600&gt;0)*($K$2:$K$600="")*($A$2:$A$600&lt;&gt;"")*((IF($G$2:$G$600="",99999999,$G$2:$G$600))&lt;IF($G490="",99999999,$G490)))+SUMPRODUCT(($J$2:$J490&gt;0)*($K$2:$K490="")*($A$2:$A490&lt;&gt;"")*((IF($G$2:$G490="",99999999,$G$2:$G490))=IF($G490="",99999999,$G490))),"")</f>
        <v/>
      </c>
      <c r="O490" s="0" t="str">
        <f aca="false">IF(AND($F490="Not Started",$A490&lt;&gt;""),SUMPRODUCT(($F$2:$F$600="Not Started")*($A$2:$A$600&lt;&gt;"")*((IF($G$2:$G$600="",99999999,$G$2:$G$600))&lt;IF($G490="",99999999,$G490)))+SUMPRODUCT(($F$2:$F490="Not Started")*($A$2:$A490&lt;&gt;"")*((IF($G$2:$G490="",99999999,$G$2:$G490))=IF($G490="",99999999,$G490))),"")</f>
        <v/>
      </c>
      <c r="P490" s="0" t="str">
        <f aca="false">IF(AND(OR($F490="In Progress",$F490="Pending Client Data",$F490="Under Review"),$A490&lt;&gt;""),SUMPRODUCT((($F$2:$F$600="In Progress")+($F$2:$F$600="Pending Client Data")+($F$2:$F$600="Under Review"))*($A$2:$A$600&lt;&gt;"")*((IF($G$2:$G$600="",99999999,$G$2:$G$600))&lt;IF($G490="",99999999,$G490)))+SUMPRODUCT((($F$2:$F490="In Progress")+($F$2:$F490="Pending Client Data")+($F$2:$F490="Under Review"))*($A$2:$A490&lt;&gt;"")*((IF($G$2:$G490="",99999999,$G$2:$G490))=IF($G490="",99999999,$G490))),"")</f>
        <v/>
      </c>
    </row>
    <row r="491" customFormat="false" ht="15" hidden="false" customHeight="false" outlineLevel="0" collapsed="false">
      <c r="A491" s="9"/>
      <c r="B491" s="9"/>
      <c r="C491" s="10" t="str">
        <f aca="false">IF($B491="","",IFERROR(INDEX('Client Master'!$C:$C,MATCH($B491,'Client Master'!$B:$B,0)),"Code not found"))</f>
        <v/>
      </c>
      <c r="D491" s="9"/>
      <c r="E491" s="9"/>
      <c r="F491" s="9"/>
      <c r="G491" s="11"/>
      <c r="H491" s="11"/>
      <c r="I491" s="9"/>
      <c r="J491" s="12"/>
      <c r="K491" s="11"/>
      <c r="L491" s="9"/>
      <c r="N491" s="0" t="str">
        <f aca="false">IF(AND($J491&gt;0,$K491="",$A491&lt;&gt;""),SUMPRODUCT(($J$2:$J$600&gt;0)*($K$2:$K$600="")*($A$2:$A$600&lt;&gt;"")*((IF($G$2:$G$600="",99999999,$G$2:$G$600))&lt;IF($G491="",99999999,$G491)))+SUMPRODUCT(($J$2:$J491&gt;0)*($K$2:$K491="")*($A$2:$A491&lt;&gt;"")*((IF($G$2:$G491="",99999999,$G$2:$G491))=IF($G491="",99999999,$G491))),"")</f>
        <v/>
      </c>
      <c r="O491" s="0" t="str">
        <f aca="false">IF(AND($F491="Not Started",$A491&lt;&gt;""),SUMPRODUCT(($F$2:$F$600="Not Started")*($A$2:$A$600&lt;&gt;"")*((IF($G$2:$G$600="",99999999,$G$2:$G$600))&lt;IF($G491="",99999999,$G491)))+SUMPRODUCT(($F$2:$F491="Not Started")*($A$2:$A491&lt;&gt;"")*((IF($G$2:$G491="",99999999,$G$2:$G491))=IF($G491="",99999999,$G491))),"")</f>
        <v/>
      </c>
      <c r="P491" s="0" t="str">
        <f aca="false">IF(AND(OR($F491="In Progress",$F491="Pending Client Data",$F491="Under Review"),$A491&lt;&gt;""),SUMPRODUCT((($F$2:$F$600="In Progress")+($F$2:$F$600="Pending Client Data")+($F$2:$F$600="Under Review"))*($A$2:$A$600&lt;&gt;"")*((IF($G$2:$G$600="",99999999,$G$2:$G$600))&lt;IF($G491="",99999999,$G491)))+SUMPRODUCT((($F$2:$F491="In Progress")+($F$2:$F491="Pending Client Data")+($F$2:$F491="Under Review"))*($A$2:$A491&lt;&gt;"")*((IF($G$2:$G491="",99999999,$G$2:$G491))=IF($G491="",99999999,$G491))),"")</f>
        <v/>
      </c>
    </row>
    <row r="492" customFormat="false" ht="15" hidden="false" customHeight="false" outlineLevel="0" collapsed="false">
      <c r="A492" s="9"/>
      <c r="B492" s="9"/>
      <c r="C492" s="10" t="str">
        <f aca="false">IF($B492="","",IFERROR(INDEX('Client Master'!$C:$C,MATCH($B492,'Client Master'!$B:$B,0)),"Code not found"))</f>
        <v/>
      </c>
      <c r="D492" s="9"/>
      <c r="E492" s="9"/>
      <c r="F492" s="9"/>
      <c r="G492" s="11"/>
      <c r="H492" s="11"/>
      <c r="I492" s="9"/>
      <c r="J492" s="12"/>
      <c r="K492" s="11"/>
      <c r="L492" s="9"/>
      <c r="N492" s="0" t="str">
        <f aca="false">IF(AND($J492&gt;0,$K492="",$A492&lt;&gt;""),SUMPRODUCT(($J$2:$J$600&gt;0)*($K$2:$K$600="")*($A$2:$A$600&lt;&gt;"")*((IF($G$2:$G$600="",99999999,$G$2:$G$600))&lt;IF($G492="",99999999,$G492)))+SUMPRODUCT(($J$2:$J492&gt;0)*($K$2:$K492="")*($A$2:$A492&lt;&gt;"")*((IF($G$2:$G492="",99999999,$G$2:$G492))=IF($G492="",99999999,$G492))),"")</f>
        <v/>
      </c>
      <c r="O492" s="0" t="str">
        <f aca="false">IF(AND($F492="Not Started",$A492&lt;&gt;""),SUMPRODUCT(($F$2:$F$600="Not Started")*($A$2:$A$600&lt;&gt;"")*((IF($G$2:$G$600="",99999999,$G$2:$G$600))&lt;IF($G492="",99999999,$G492)))+SUMPRODUCT(($F$2:$F492="Not Started")*($A$2:$A492&lt;&gt;"")*((IF($G$2:$G492="",99999999,$G$2:$G492))=IF($G492="",99999999,$G492))),"")</f>
        <v/>
      </c>
      <c r="P492" s="0" t="str">
        <f aca="false">IF(AND(OR($F492="In Progress",$F492="Pending Client Data",$F492="Under Review"),$A492&lt;&gt;""),SUMPRODUCT((($F$2:$F$600="In Progress")+($F$2:$F$600="Pending Client Data")+($F$2:$F$600="Under Review"))*($A$2:$A$600&lt;&gt;"")*((IF($G$2:$G$600="",99999999,$G$2:$G$600))&lt;IF($G492="",99999999,$G492)))+SUMPRODUCT((($F$2:$F492="In Progress")+($F$2:$F492="Pending Client Data")+($F$2:$F492="Under Review"))*($A$2:$A492&lt;&gt;"")*((IF($G$2:$G492="",99999999,$G$2:$G492))=IF($G492="",99999999,$G492))),"")</f>
        <v/>
      </c>
    </row>
    <row r="493" customFormat="false" ht="15" hidden="false" customHeight="false" outlineLevel="0" collapsed="false">
      <c r="A493" s="9"/>
      <c r="B493" s="9"/>
      <c r="C493" s="10" t="str">
        <f aca="false">IF($B493="","",IFERROR(INDEX('Client Master'!$C:$C,MATCH($B493,'Client Master'!$B:$B,0)),"Code not found"))</f>
        <v/>
      </c>
      <c r="D493" s="9"/>
      <c r="E493" s="9"/>
      <c r="F493" s="9"/>
      <c r="G493" s="11"/>
      <c r="H493" s="11"/>
      <c r="I493" s="9"/>
      <c r="J493" s="12"/>
      <c r="K493" s="11"/>
      <c r="L493" s="9"/>
      <c r="N493" s="0" t="str">
        <f aca="false">IF(AND($J493&gt;0,$K493="",$A493&lt;&gt;""),SUMPRODUCT(($J$2:$J$600&gt;0)*($K$2:$K$600="")*($A$2:$A$600&lt;&gt;"")*((IF($G$2:$G$600="",99999999,$G$2:$G$600))&lt;IF($G493="",99999999,$G493)))+SUMPRODUCT(($J$2:$J493&gt;0)*($K$2:$K493="")*($A$2:$A493&lt;&gt;"")*((IF($G$2:$G493="",99999999,$G$2:$G493))=IF($G493="",99999999,$G493))),"")</f>
        <v/>
      </c>
      <c r="O493" s="0" t="str">
        <f aca="false">IF(AND($F493="Not Started",$A493&lt;&gt;""),SUMPRODUCT(($F$2:$F$600="Not Started")*($A$2:$A$600&lt;&gt;"")*((IF($G$2:$G$600="",99999999,$G$2:$G$600))&lt;IF($G493="",99999999,$G493)))+SUMPRODUCT(($F$2:$F493="Not Started")*($A$2:$A493&lt;&gt;"")*((IF($G$2:$G493="",99999999,$G$2:$G493))=IF($G493="",99999999,$G493))),"")</f>
        <v/>
      </c>
      <c r="P493" s="0" t="str">
        <f aca="false">IF(AND(OR($F493="In Progress",$F493="Pending Client Data",$F493="Under Review"),$A493&lt;&gt;""),SUMPRODUCT((($F$2:$F$600="In Progress")+($F$2:$F$600="Pending Client Data")+($F$2:$F$600="Under Review"))*($A$2:$A$600&lt;&gt;"")*((IF($G$2:$G$600="",99999999,$G$2:$G$600))&lt;IF($G493="",99999999,$G493)))+SUMPRODUCT((($F$2:$F493="In Progress")+($F$2:$F493="Pending Client Data")+($F$2:$F493="Under Review"))*($A$2:$A493&lt;&gt;"")*((IF($G$2:$G493="",99999999,$G$2:$G493))=IF($G493="",99999999,$G493))),"")</f>
        <v/>
      </c>
    </row>
    <row r="494" customFormat="false" ht="15" hidden="false" customHeight="false" outlineLevel="0" collapsed="false">
      <c r="A494" s="9"/>
      <c r="B494" s="9"/>
      <c r="C494" s="10" t="str">
        <f aca="false">IF($B494="","",IFERROR(INDEX('Client Master'!$C:$C,MATCH($B494,'Client Master'!$B:$B,0)),"Code not found"))</f>
        <v/>
      </c>
      <c r="D494" s="9"/>
      <c r="E494" s="9"/>
      <c r="F494" s="9"/>
      <c r="G494" s="11"/>
      <c r="H494" s="11"/>
      <c r="I494" s="9"/>
      <c r="J494" s="12"/>
      <c r="K494" s="11"/>
      <c r="L494" s="9"/>
      <c r="N494" s="0" t="str">
        <f aca="false">IF(AND($J494&gt;0,$K494="",$A494&lt;&gt;""),SUMPRODUCT(($J$2:$J$600&gt;0)*($K$2:$K$600="")*($A$2:$A$600&lt;&gt;"")*((IF($G$2:$G$600="",99999999,$G$2:$G$600))&lt;IF($G494="",99999999,$G494)))+SUMPRODUCT(($J$2:$J494&gt;0)*($K$2:$K494="")*($A$2:$A494&lt;&gt;"")*((IF($G$2:$G494="",99999999,$G$2:$G494))=IF($G494="",99999999,$G494))),"")</f>
        <v/>
      </c>
      <c r="O494" s="0" t="str">
        <f aca="false">IF(AND($F494="Not Started",$A494&lt;&gt;""),SUMPRODUCT(($F$2:$F$600="Not Started")*($A$2:$A$600&lt;&gt;"")*((IF($G$2:$G$600="",99999999,$G$2:$G$600))&lt;IF($G494="",99999999,$G494)))+SUMPRODUCT(($F$2:$F494="Not Started")*($A$2:$A494&lt;&gt;"")*((IF($G$2:$G494="",99999999,$G$2:$G494))=IF($G494="",99999999,$G494))),"")</f>
        <v/>
      </c>
      <c r="P494" s="0" t="str">
        <f aca="false">IF(AND(OR($F494="In Progress",$F494="Pending Client Data",$F494="Under Review"),$A494&lt;&gt;""),SUMPRODUCT((($F$2:$F$600="In Progress")+($F$2:$F$600="Pending Client Data")+($F$2:$F$600="Under Review"))*($A$2:$A$600&lt;&gt;"")*((IF($G$2:$G$600="",99999999,$G$2:$G$600))&lt;IF($G494="",99999999,$G494)))+SUMPRODUCT((($F$2:$F494="In Progress")+($F$2:$F494="Pending Client Data")+($F$2:$F494="Under Review"))*($A$2:$A494&lt;&gt;"")*((IF($G$2:$G494="",99999999,$G$2:$G494))=IF($G494="",99999999,$G494))),"")</f>
        <v/>
      </c>
    </row>
    <row r="495" customFormat="false" ht="15" hidden="false" customHeight="false" outlineLevel="0" collapsed="false">
      <c r="A495" s="9"/>
      <c r="B495" s="9"/>
      <c r="C495" s="10" t="str">
        <f aca="false">IF($B495="","",IFERROR(INDEX('Client Master'!$C:$C,MATCH($B495,'Client Master'!$B:$B,0)),"Code not found"))</f>
        <v/>
      </c>
      <c r="D495" s="9"/>
      <c r="E495" s="9"/>
      <c r="F495" s="9"/>
      <c r="G495" s="11"/>
      <c r="H495" s="11"/>
      <c r="I495" s="9"/>
      <c r="J495" s="12"/>
      <c r="K495" s="11"/>
      <c r="L495" s="9"/>
      <c r="N495" s="0" t="str">
        <f aca="false">IF(AND($J495&gt;0,$K495="",$A495&lt;&gt;""),SUMPRODUCT(($J$2:$J$600&gt;0)*($K$2:$K$600="")*($A$2:$A$600&lt;&gt;"")*((IF($G$2:$G$600="",99999999,$G$2:$G$600))&lt;IF($G495="",99999999,$G495)))+SUMPRODUCT(($J$2:$J495&gt;0)*($K$2:$K495="")*($A$2:$A495&lt;&gt;"")*((IF($G$2:$G495="",99999999,$G$2:$G495))=IF($G495="",99999999,$G495))),"")</f>
        <v/>
      </c>
      <c r="O495" s="0" t="str">
        <f aca="false">IF(AND($F495="Not Started",$A495&lt;&gt;""),SUMPRODUCT(($F$2:$F$600="Not Started")*($A$2:$A$600&lt;&gt;"")*((IF($G$2:$G$600="",99999999,$G$2:$G$600))&lt;IF($G495="",99999999,$G495)))+SUMPRODUCT(($F$2:$F495="Not Started")*($A$2:$A495&lt;&gt;"")*((IF($G$2:$G495="",99999999,$G$2:$G495))=IF($G495="",99999999,$G495))),"")</f>
        <v/>
      </c>
      <c r="P495" s="0" t="str">
        <f aca="false">IF(AND(OR($F495="In Progress",$F495="Pending Client Data",$F495="Under Review"),$A495&lt;&gt;""),SUMPRODUCT((($F$2:$F$600="In Progress")+($F$2:$F$600="Pending Client Data")+($F$2:$F$600="Under Review"))*($A$2:$A$600&lt;&gt;"")*((IF($G$2:$G$600="",99999999,$G$2:$G$600))&lt;IF($G495="",99999999,$G495)))+SUMPRODUCT((($F$2:$F495="In Progress")+($F$2:$F495="Pending Client Data")+($F$2:$F495="Under Review"))*($A$2:$A495&lt;&gt;"")*((IF($G$2:$G495="",99999999,$G$2:$G495))=IF($G495="",99999999,$G495))),"")</f>
        <v/>
      </c>
    </row>
    <row r="496" customFormat="false" ht="15" hidden="false" customHeight="false" outlineLevel="0" collapsed="false">
      <c r="A496" s="9"/>
      <c r="B496" s="9"/>
      <c r="C496" s="10" t="str">
        <f aca="false">IF($B496="","",IFERROR(INDEX('Client Master'!$C:$C,MATCH($B496,'Client Master'!$B:$B,0)),"Code not found"))</f>
        <v/>
      </c>
      <c r="D496" s="9"/>
      <c r="E496" s="9"/>
      <c r="F496" s="9"/>
      <c r="G496" s="11"/>
      <c r="H496" s="11"/>
      <c r="I496" s="9"/>
      <c r="J496" s="12"/>
      <c r="K496" s="11"/>
      <c r="L496" s="9"/>
      <c r="N496" s="0" t="str">
        <f aca="false">IF(AND($J496&gt;0,$K496="",$A496&lt;&gt;""),SUMPRODUCT(($J$2:$J$600&gt;0)*($K$2:$K$600="")*($A$2:$A$600&lt;&gt;"")*((IF($G$2:$G$600="",99999999,$G$2:$G$600))&lt;IF($G496="",99999999,$G496)))+SUMPRODUCT(($J$2:$J496&gt;0)*($K$2:$K496="")*($A$2:$A496&lt;&gt;"")*((IF($G$2:$G496="",99999999,$G$2:$G496))=IF($G496="",99999999,$G496))),"")</f>
        <v/>
      </c>
      <c r="O496" s="0" t="str">
        <f aca="false">IF(AND($F496="Not Started",$A496&lt;&gt;""),SUMPRODUCT(($F$2:$F$600="Not Started")*($A$2:$A$600&lt;&gt;"")*((IF($G$2:$G$600="",99999999,$G$2:$G$600))&lt;IF($G496="",99999999,$G496)))+SUMPRODUCT(($F$2:$F496="Not Started")*($A$2:$A496&lt;&gt;"")*((IF($G$2:$G496="",99999999,$G$2:$G496))=IF($G496="",99999999,$G496))),"")</f>
        <v/>
      </c>
      <c r="P496" s="0" t="str">
        <f aca="false">IF(AND(OR($F496="In Progress",$F496="Pending Client Data",$F496="Under Review"),$A496&lt;&gt;""),SUMPRODUCT((($F$2:$F$600="In Progress")+($F$2:$F$600="Pending Client Data")+($F$2:$F$600="Under Review"))*($A$2:$A$600&lt;&gt;"")*((IF($G$2:$G$600="",99999999,$G$2:$G$600))&lt;IF($G496="",99999999,$G496)))+SUMPRODUCT((($F$2:$F496="In Progress")+($F$2:$F496="Pending Client Data")+($F$2:$F496="Under Review"))*($A$2:$A496&lt;&gt;"")*((IF($G$2:$G496="",99999999,$G$2:$G496))=IF($G496="",99999999,$G496))),"")</f>
        <v/>
      </c>
    </row>
    <row r="497" customFormat="false" ht="15" hidden="false" customHeight="false" outlineLevel="0" collapsed="false">
      <c r="A497" s="9"/>
      <c r="B497" s="9"/>
      <c r="C497" s="10" t="str">
        <f aca="false">IF($B497="","",IFERROR(INDEX('Client Master'!$C:$C,MATCH($B497,'Client Master'!$B:$B,0)),"Code not found"))</f>
        <v/>
      </c>
      <c r="D497" s="9"/>
      <c r="E497" s="9"/>
      <c r="F497" s="9"/>
      <c r="G497" s="11"/>
      <c r="H497" s="11"/>
      <c r="I497" s="9"/>
      <c r="J497" s="12"/>
      <c r="K497" s="11"/>
      <c r="L497" s="9"/>
      <c r="N497" s="0" t="str">
        <f aca="false">IF(AND($J497&gt;0,$K497="",$A497&lt;&gt;""),SUMPRODUCT(($J$2:$J$600&gt;0)*($K$2:$K$600="")*($A$2:$A$600&lt;&gt;"")*((IF($G$2:$G$600="",99999999,$G$2:$G$600))&lt;IF($G497="",99999999,$G497)))+SUMPRODUCT(($J$2:$J497&gt;0)*($K$2:$K497="")*($A$2:$A497&lt;&gt;"")*((IF($G$2:$G497="",99999999,$G$2:$G497))=IF($G497="",99999999,$G497))),"")</f>
        <v/>
      </c>
      <c r="O497" s="0" t="str">
        <f aca="false">IF(AND($F497="Not Started",$A497&lt;&gt;""),SUMPRODUCT(($F$2:$F$600="Not Started")*($A$2:$A$600&lt;&gt;"")*((IF($G$2:$G$600="",99999999,$G$2:$G$600))&lt;IF($G497="",99999999,$G497)))+SUMPRODUCT(($F$2:$F497="Not Started")*($A$2:$A497&lt;&gt;"")*((IF($G$2:$G497="",99999999,$G$2:$G497))=IF($G497="",99999999,$G497))),"")</f>
        <v/>
      </c>
      <c r="P497" s="0" t="str">
        <f aca="false">IF(AND(OR($F497="In Progress",$F497="Pending Client Data",$F497="Under Review"),$A497&lt;&gt;""),SUMPRODUCT((($F$2:$F$600="In Progress")+($F$2:$F$600="Pending Client Data")+($F$2:$F$600="Under Review"))*($A$2:$A$600&lt;&gt;"")*((IF($G$2:$G$600="",99999999,$G$2:$G$600))&lt;IF($G497="",99999999,$G497)))+SUMPRODUCT((($F$2:$F497="In Progress")+($F$2:$F497="Pending Client Data")+($F$2:$F497="Under Review"))*($A$2:$A497&lt;&gt;"")*((IF($G$2:$G497="",99999999,$G$2:$G497))=IF($G497="",99999999,$G497))),"")</f>
        <v/>
      </c>
    </row>
    <row r="498" customFormat="false" ht="15" hidden="false" customHeight="false" outlineLevel="0" collapsed="false">
      <c r="A498" s="9"/>
      <c r="B498" s="9"/>
      <c r="C498" s="10" t="str">
        <f aca="false">IF($B498="","",IFERROR(INDEX('Client Master'!$C:$C,MATCH($B498,'Client Master'!$B:$B,0)),"Code not found"))</f>
        <v/>
      </c>
      <c r="D498" s="9"/>
      <c r="E498" s="9"/>
      <c r="F498" s="9"/>
      <c r="G498" s="11"/>
      <c r="H498" s="11"/>
      <c r="I498" s="9"/>
      <c r="J498" s="12"/>
      <c r="K498" s="11"/>
      <c r="L498" s="9"/>
      <c r="N498" s="0" t="str">
        <f aca="false">IF(AND($J498&gt;0,$K498="",$A498&lt;&gt;""),SUMPRODUCT(($J$2:$J$600&gt;0)*($K$2:$K$600="")*($A$2:$A$600&lt;&gt;"")*((IF($G$2:$G$600="",99999999,$G$2:$G$600))&lt;IF($G498="",99999999,$G498)))+SUMPRODUCT(($J$2:$J498&gt;0)*($K$2:$K498="")*($A$2:$A498&lt;&gt;"")*((IF($G$2:$G498="",99999999,$G$2:$G498))=IF($G498="",99999999,$G498))),"")</f>
        <v/>
      </c>
      <c r="O498" s="0" t="str">
        <f aca="false">IF(AND($F498="Not Started",$A498&lt;&gt;""),SUMPRODUCT(($F$2:$F$600="Not Started")*($A$2:$A$600&lt;&gt;"")*((IF($G$2:$G$600="",99999999,$G$2:$G$600))&lt;IF($G498="",99999999,$G498)))+SUMPRODUCT(($F$2:$F498="Not Started")*($A$2:$A498&lt;&gt;"")*((IF($G$2:$G498="",99999999,$G$2:$G498))=IF($G498="",99999999,$G498))),"")</f>
        <v/>
      </c>
      <c r="P498" s="0" t="str">
        <f aca="false">IF(AND(OR($F498="In Progress",$F498="Pending Client Data",$F498="Under Review"),$A498&lt;&gt;""),SUMPRODUCT((($F$2:$F$600="In Progress")+($F$2:$F$600="Pending Client Data")+($F$2:$F$600="Under Review"))*($A$2:$A$600&lt;&gt;"")*((IF($G$2:$G$600="",99999999,$G$2:$G$600))&lt;IF($G498="",99999999,$G498)))+SUMPRODUCT((($F$2:$F498="In Progress")+($F$2:$F498="Pending Client Data")+($F$2:$F498="Under Review"))*($A$2:$A498&lt;&gt;"")*((IF($G$2:$G498="",99999999,$G$2:$G498))=IF($G498="",99999999,$G498))),"")</f>
        <v/>
      </c>
    </row>
    <row r="499" customFormat="false" ht="15" hidden="false" customHeight="false" outlineLevel="0" collapsed="false">
      <c r="A499" s="9"/>
      <c r="B499" s="9"/>
      <c r="C499" s="10" t="str">
        <f aca="false">IF($B499="","",IFERROR(INDEX('Client Master'!$C:$C,MATCH($B499,'Client Master'!$B:$B,0)),"Code not found"))</f>
        <v/>
      </c>
      <c r="D499" s="9"/>
      <c r="E499" s="9"/>
      <c r="F499" s="9"/>
      <c r="G499" s="11"/>
      <c r="H499" s="11"/>
      <c r="I499" s="9"/>
      <c r="J499" s="12"/>
      <c r="K499" s="11"/>
      <c r="L499" s="9"/>
      <c r="N499" s="0" t="str">
        <f aca="false">IF(AND($J499&gt;0,$K499="",$A499&lt;&gt;""),SUMPRODUCT(($J$2:$J$600&gt;0)*($K$2:$K$600="")*($A$2:$A$600&lt;&gt;"")*((IF($G$2:$G$600="",99999999,$G$2:$G$600))&lt;IF($G499="",99999999,$G499)))+SUMPRODUCT(($J$2:$J499&gt;0)*($K$2:$K499="")*($A$2:$A499&lt;&gt;"")*((IF($G$2:$G499="",99999999,$G$2:$G499))=IF($G499="",99999999,$G499))),"")</f>
        <v/>
      </c>
      <c r="O499" s="0" t="str">
        <f aca="false">IF(AND($F499="Not Started",$A499&lt;&gt;""),SUMPRODUCT(($F$2:$F$600="Not Started")*($A$2:$A$600&lt;&gt;"")*((IF($G$2:$G$600="",99999999,$G$2:$G$600))&lt;IF($G499="",99999999,$G499)))+SUMPRODUCT(($F$2:$F499="Not Started")*($A$2:$A499&lt;&gt;"")*((IF($G$2:$G499="",99999999,$G$2:$G499))=IF($G499="",99999999,$G499))),"")</f>
        <v/>
      </c>
      <c r="P499" s="0" t="str">
        <f aca="false">IF(AND(OR($F499="In Progress",$F499="Pending Client Data",$F499="Under Review"),$A499&lt;&gt;""),SUMPRODUCT((($F$2:$F$600="In Progress")+($F$2:$F$600="Pending Client Data")+($F$2:$F$600="Under Review"))*($A$2:$A$600&lt;&gt;"")*((IF($G$2:$G$600="",99999999,$G$2:$G$600))&lt;IF($G499="",99999999,$G499)))+SUMPRODUCT((($F$2:$F499="In Progress")+($F$2:$F499="Pending Client Data")+($F$2:$F499="Under Review"))*($A$2:$A499&lt;&gt;"")*((IF($G$2:$G499="",99999999,$G$2:$G499))=IF($G499="",99999999,$G499))),"")</f>
        <v/>
      </c>
    </row>
    <row r="500" customFormat="false" ht="15" hidden="false" customHeight="false" outlineLevel="0" collapsed="false">
      <c r="A500" s="9"/>
      <c r="B500" s="9"/>
      <c r="C500" s="10" t="str">
        <f aca="false">IF($B500="","",IFERROR(INDEX('Client Master'!$C:$C,MATCH($B500,'Client Master'!$B:$B,0)),"Code not found"))</f>
        <v/>
      </c>
      <c r="D500" s="9"/>
      <c r="E500" s="9"/>
      <c r="F500" s="9"/>
      <c r="G500" s="11"/>
      <c r="H500" s="11"/>
      <c r="I500" s="9"/>
      <c r="J500" s="12"/>
      <c r="K500" s="11"/>
      <c r="L500" s="9"/>
      <c r="N500" s="0" t="str">
        <f aca="false">IF(AND($J500&gt;0,$K500="",$A500&lt;&gt;""),SUMPRODUCT(($J$2:$J$600&gt;0)*($K$2:$K$600="")*($A$2:$A$600&lt;&gt;"")*((IF($G$2:$G$600="",99999999,$G$2:$G$600))&lt;IF($G500="",99999999,$G500)))+SUMPRODUCT(($J$2:$J500&gt;0)*($K$2:$K500="")*($A$2:$A500&lt;&gt;"")*((IF($G$2:$G500="",99999999,$G$2:$G500))=IF($G500="",99999999,$G500))),"")</f>
        <v/>
      </c>
      <c r="O500" s="0" t="str">
        <f aca="false">IF(AND($F500="Not Started",$A500&lt;&gt;""),SUMPRODUCT(($F$2:$F$600="Not Started")*($A$2:$A$600&lt;&gt;"")*((IF($G$2:$G$600="",99999999,$G$2:$G$600))&lt;IF($G500="",99999999,$G500)))+SUMPRODUCT(($F$2:$F500="Not Started")*($A$2:$A500&lt;&gt;"")*((IF($G$2:$G500="",99999999,$G$2:$G500))=IF($G500="",99999999,$G500))),"")</f>
        <v/>
      </c>
      <c r="P500" s="0" t="str">
        <f aca="false">IF(AND(OR($F500="In Progress",$F500="Pending Client Data",$F500="Under Review"),$A500&lt;&gt;""),SUMPRODUCT((($F$2:$F$600="In Progress")+($F$2:$F$600="Pending Client Data")+($F$2:$F$600="Under Review"))*($A$2:$A$600&lt;&gt;"")*((IF($G$2:$G$600="",99999999,$G$2:$G$600))&lt;IF($G500="",99999999,$G500)))+SUMPRODUCT((($F$2:$F500="In Progress")+($F$2:$F500="Pending Client Data")+($F$2:$F500="Under Review"))*($A$2:$A500&lt;&gt;"")*((IF($G$2:$G500="",99999999,$G$2:$G500))=IF($G500="",99999999,$G500))),"")</f>
        <v/>
      </c>
    </row>
    <row r="501" customFormat="false" ht="15" hidden="false" customHeight="false" outlineLevel="0" collapsed="false">
      <c r="A501" s="9"/>
      <c r="B501" s="9"/>
      <c r="C501" s="10" t="str">
        <f aca="false">IF($B501="","",IFERROR(INDEX('Client Master'!$C:$C,MATCH($B501,'Client Master'!$B:$B,0)),"Code not found"))</f>
        <v/>
      </c>
      <c r="D501" s="9"/>
      <c r="E501" s="9"/>
      <c r="F501" s="9"/>
      <c r="G501" s="11"/>
      <c r="H501" s="11"/>
      <c r="I501" s="9"/>
      <c r="J501" s="12"/>
      <c r="K501" s="11"/>
      <c r="L501" s="9"/>
      <c r="N501" s="0" t="str">
        <f aca="false">IF(AND($J501&gt;0,$K501="",$A501&lt;&gt;""),SUMPRODUCT(($J$2:$J$600&gt;0)*($K$2:$K$600="")*($A$2:$A$600&lt;&gt;"")*((IF($G$2:$G$600="",99999999,$G$2:$G$600))&lt;IF($G501="",99999999,$G501)))+SUMPRODUCT(($J$2:$J501&gt;0)*($K$2:$K501="")*($A$2:$A501&lt;&gt;"")*((IF($G$2:$G501="",99999999,$G$2:$G501))=IF($G501="",99999999,$G501))),"")</f>
        <v/>
      </c>
      <c r="O501" s="0" t="str">
        <f aca="false">IF(AND($F501="Not Started",$A501&lt;&gt;""),SUMPRODUCT(($F$2:$F$600="Not Started")*($A$2:$A$600&lt;&gt;"")*((IF($G$2:$G$600="",99999999,$G$2:$G$600))&lt;IF($G501="",99999999,$G501)))+SUMPRODUCT(($F$2:$F501="Not Started")*($A$2:$A501&lt;&gt;"")*((IF($G$2:$G501="",99999999,$G$2:$G501))=IF($G501="",99999999,$G501))),"")</f>
        <v/>
      </c>
      <c r="P501" s="0" t="str">
        <f aca="false">IF(AND(OR($F501="In Progress",$F501="Pending Client Data",$F501="Under Review"),$A501&lt;&gt;""),SUMPRODUCT((($F$2:$F$600="In Progress")+($F$2:$F$600="Pending Client Data")+($F$2:$F$600="Under Review"))*($A$2:$A$600&lt;&gt;"")*((IF($G$2:$G$600="",99999999,$G$2:$G$600))&lt;IF($G501="",99999999,$G501)))+SUMPRODUCT((($F$2:$F501="In Progress")+($F$2:$F501="Pending Client Data")+($F$2:$F501="Under Review"))*($A$2:$A501&lt;&gt;"")*((IF($G$2:$G501="",99999999,$G$2:$G501))=IF($G501="",99999999,$G501))),"")</f>
        <v/>
      </c>
    </row>
    <row r="502" customFormat="false" ht="15" hidden="false" customHeight="false" outlineLevel="0" collapsed="false">
      <c r="A502" s="9"/>
      <c r="B502" s="9"/>
      <c r="C502" s="10" t="str">
        <f aca="false">IF($B502="","",IFERROR(INDEX('Client Master'!$C:$C,MATCH($B502,'Client Master'!$B:$B,0)),"Code not found"))</f>
        <v/>
      </c>
      <c r="D502" s="9"/>
      <c r="E502" s="9"/>
      <c r="F502" s="9"/>
      <c r="G502" s="11"/>
      <c r="H502" s="11"/>
      <c r="I502" s="9"/>
      <c r="J502" s="12"/>
      <c r="K502" s="11"/>
      <c r="L502" s="9"/>
      <c r="N502" s="0" t="str">
        <f aca="false">IF(AND($J502&gt;0,$K502="",$A502&lt;&gt;""),SUMPRODUCT(($J$2:$J$600&gt;0)*($K$2:$K$600="")*($A$2:$A$600&lt;&gt;"")*((IF($G$2:$G$600="",99999999,$G$2:$G$600))&lt;IF($G502="",99999999,$G502)))+SUMPRODUCT(($J$2:$J502&gt;0)*($K$2:$K502="")*($A$2:$A502&lt;&gt;"")*((IF($G$2:$G502="",99999999,$G$2:$G502))=IF($G502="",99999999,$G502))),"")</f>
        <v/>
      </c>
      <c r="O502" s="0" t="str">
        <f aca="false">IF(AND($F502="Not Started",$A502&lt;&gt;""),SUMPRODUCT(($F$2:$F$600="Not Started")*($A$2:$A$600&lt;&gt;"")*((IF($G$2:$G$600="",99999999,$G$2:$G$600))&lt;IF($G502="",99999999,$G502)))+SUMPRODUCT(($F$2:$F502="Not Started")*($A$2:$A502&lt;&gt;"")*((IF($G$2:$G502="",99999999,$G$2:$G502))=IF($G502="",99999999,$G502))),"")</f>
        <v/>
      </c>
      <c r="P502" s="0" t="str">
        <f aca="false">IF(AND(OR($F502="In Progress",$F502="Pending Client Data",$F502="Under Review"),$A502&lt;&gt;""),SUMPRODUCT((($F$2:$F$600="In Progress")+($F$2:$F$600="Pending Client Data")+($F$2:$F$600="Under Review"))*($A$2:$A$600&lt;&gt;"")*((IF($G$2:$G$600="",99999999,$G$2:$G$600))&lt;IF($G502="",99999999,$G502)))+SUMPRODUCT((($F$2:$F502="In Progress")+($F$2:$F502="Pending Client Data")+($F$2:$F502="Under Review"))*($A$2:$A502&lt;&gt;"")*((IF($G$2:$G502="",99999999,$G$2:$G502))=IF($G502="",99999999,$G502))),"")</f>
        <v/>
      </c>
    </row>
    <row r="503" customFormat="false" ht="15" hidden="false" customHeight="false" outlineLevel="0" collapsed="false">
      <c r="A503" s="9"/>
      <c r="B503" s="9"/>
      <c r="C503" s="10" t="str">
        <f aca="false">IF($B503="","",IFERROR(INDEX('Client Master'!$C:$C,MATCH($B503,'Client Master'!$B:$B,0)),"Code not found"))</f>
        <v/>
      </c>
      <c r="D503" s="9"/>
      <c r="E503" s="9"/>
      <c r="F503" s="9"/>
      <c r="G503" s="11"/>
      <c r="H503" s="11"/>
      <c r="I503" s="9"/>
      <c r="J503" s="12"/>
      <c r="K503" s="11"/>
      <c r="L503" s="9"/>
      <c r="N503" s="0" t="str">
        <f aca="false">IF(AND($J503&gt;0,$K503="",$A503&lt;&gt;""),SUMPRODUCT(($J$2:$J$600&gt;0)*($K$2:$K$600="")*($A$2:$A$600&lt;&gt;"")*((IF($G$2:$G$600="",99999999,$G$2:$G$600))&lt;IF($G503="",99999999,$G503)))+SUMPRODUCT(($J$2:$J503&gt;0)*($K$2:$K503="")*($A$2:$A503&lt;&gt;"")*((IF($G$2:$G503="",99999999,$G$2:$G503))=IF($G503="",99999999,$G503))),"")</f>
        <v/>
      </c>
      <c r="O503" s="0" t="str">
        <f aca="false">IF(AND($F503="Not Started",$A503&lt;&gt;""),SUMPRODUCT(($F$2:$F$600="Not Started")*($A$2:$A$600&lt;&gt;"")*((IF($G$2:$G$600="",99999999,$G$2:$G$600))&lt;IF($G503="",99999999,$G503)))+SUMPRODUCT(($F$2:$F503="Not Started")*($A$2:$A503&lt;&gt;"")*((IF($G$2:$G503="",99999999,$G$2:$G503))=IF($G503="",99999999,$G503))),"")</f>
        <v/>
      </c>
      <c r="P503" s="0" t="str">
        <f aca="false">IF(AND(OR($F503="In Progress",$F503="Pending Client Data",$F503="Under Review"),$A503&lt;&gt;""),SUMPRODUCT((($F$2:$F$600="In Progress")+($F$2:$F$600="Pending Client Data")+($F$2:$F$600="Under Review"))*($A$2:$A$600&lt;&gt;"")*((IF($G$2:$G$600="",99999999,$G$2:$G$600))&lt;IF($G503="",99999999,$G503)))+SUMPRODUCT((($F$2:$F503="In Progress")+($F$2:$F503="Pending Client Data")+($F$2:$F503="Under Review"))*($A$2:$A503&lt;&gt;"")*((IF($G$2:$G503="",99999999,$G$2:$G503))=IF($G503="",99999999,$G503))),"")</f>
        <v/>
      </c>
    </row>
    <row r="504" customFormat="false" ht="15" hidden="false" customHeight="false" outlineLevel="0" collapsed="false">
      <c r="A504" s="9"/>
      <c r="B504" s="9"/>
      <c r="C504" s="10" t="str">
        <f aca="false">IF($B504="","",IFERROR(INDEX('Client Master'!$C:$C,MATCH($B504,'Client Master'!$B:$B,0)),"Code not found"))</f>
        <v/>
      </c>
      <c r="D504" s="9"/>
      <c r="E504" s="9"/>
      <c r="F504" s="9"/>
      <c r="G504" s="11"/>
      <c r="H504" s="11"/>
      <c r="I504" s="9"/>
      <c r="J504" s="12"/>
      <c r="K504" s="11"/>
      <c r="L504" s="9"/>
      <c r="N504" s="0" t="str">
        <f aca="false">IF(AND($J504&gt;0,$K504="",$A504&lt;&gt;""),SUMPRODUCT(($J$2:$J$600&gt;0)*($K$2:$K$600="")*($A$2:$A$600&lt;&gt;"")*((IF($G$2:$G$600="",99999999,$G$2:$G$600))&lt;IF($G504="",99999999,$G504)))+SUMPRODUCT(($J$2:$J504&gt;0)*($K$2:$K504="")*($A$2:$A504&lt;&gt;"")*((IF($G$2:$G504="",99999999,$G$2:$G504))=IF($G504="",99999999,$G504))),"")</f>
        <v/>
      </c>
      <c r="O504" s="0" t="str">
        <f aca="false">IF(AND($F504="Not Started",$A504&lt;&gt;""),SUMPRODUCT(($F$2:$F$600="Not Started")*($A$2:$A$600&lt;&gt;"")*((IF($G$2:$G$600="",99999999,$G$2:$G$600))&lt;IF($G504="",99999999,$G504)))+SUMPRODUCT(($F$2:$F504="Not Started")*($A$2:$A504&lt;&gt;"")*((IF($G$2:$G504="",99999999,$G$2:$G504))=IF($G504="",99999999,$G504))),"")</f>
        <v/>
      </c>
      <c r="P504" s="0" t="str">
        <f aca="false">IF(AND(OR($F504="In Progress",$F504="Pending Client Data",$F504="Under Review"),$A504&lt;&gt;""),SUMPRODUCT((($F$2:$F$600="In Progress")+($F$2:$F$600="Pending Client Data")+($F$2:$F$600="Under Review"))*($A$2:$A$600&lt;&gt;"")*((IF($G$2:$G$600="",99999999,$G$2:$G$600))&lt;IF($G504="",99999999,$G504)))+SUMPRODUCT((($F$2:$F504="In Progress")+($F$2:$F504="Pending Client Data")+($F$2:$F504="Under Review"))*($A$2:$A504&lt;&gt;"")*((IF($G$2:$G504="",99999999,$G$2:$G504))=IF($G504="",99999999,$G504))),"")</f>
        <v/>
      </c>
    </row>
    <row r="505" customFormat="false" ht="15" hidden="false" customHeight="false" outlineLevel="0" collapsed="false">
      <c r="A505" s="9"/>
      <c r="B505" s="9"/>
      <c r="C505" s="10" t="str">
        <f aca="false">IF($B505="","",IFERROR(INDEX('Client Master'!$C:$C,MATCH($B505,'Client Master'!$B:$B,0)),"Code not found"))</f>
        <v/>
      </c>
      <c r="D505" s="9"/>
      <c r="E505" s="9"/>
      <c r="F505" s="9"/>
      <c r="G505" s="11"/>
      <c r="H505" s="11"/>
      <c r="I505" s="9"/>
      <c r="J505" s="12"/>
      <c r="K505" s="11"/>
      <c r="L505" s="9"/>
      <c r="N505" s="0" t="str">
        <f aca="false">IF(AND($J505&gt;0,$K505="",$A505&lt;&gt;""),SUMPRODUCT(($J$2:$J$600&gt;0)*($K$2:$K$600="")*($A$2:$A$600&lt;&gt;"")*((IF($G$2:$G$600="",99999999,$G$2:$G$600))&lt;IF($G505="",99999999,$G505)))+SUMPRODUCT(($J$2:$J505&gt;0)*($K$2:$K505="")*($A$2:$A505&lt;&gt;"")*((IF($G$2:$G505="",99999999,$G$2:$G505))=IF($G505="",99999999,$G505))),"")</f>
        <v/>
      </c>
      <c r="O505" s="0" t="str">
        <f aca="false">IF(AND($F505="Not Started",$A505&lt;&gt;""),SUMPRODUCT(($F$2:$F$600="Not Started")*($A$2:$A$600&lt;&gt;"")*((IF($G$2:$G$600="",99999999,$G$2:$G$600))&lt;IF($G505="",99999999,$G505)))+SUMPRODUCT(($F$2:$F505="Not Started")*($A$2:$A505&lt;&gt;"")*((IF($G$2:$G505="",99999999,$G$2:$G505))=IF($G505="",99999999,$G505))),"")</f>
        <v/>
      </c>
      <c r="P505" s="0" t="str">
        <f aca="false">IF(AND(OR($F505="In Progress",$F505="Pending Client Data",$F505="Under Review"),$A505&lt;&gt;""),SUMPRODUCT((($F$2:$F$600="In Progress")+($F$2:$F$600="Pending Client Data")+($F$2:$F$600="Under Review"))*($A$2:$A$600&lt;&gt;"")*((IF($G$2:$G$600="",99999999,$G$2:$G$600))&lt;IF($G505="",99999999,$G505)))+SUMPRODUCT((($F$2:$F505="In Progress")+($F$2:$F505="Pending Client Data")+($F$2:$F505="Under Review"))*($A$2:$A505&lt;&gt;"")*((IF($G$2:$G505="",99999999,$G$2:$G505))=IF($G505="",99999999,$G505))),"")</f>
        <v/>
      </c>
    </row>
    <row r="506" customFormat="false" ht="15" hidden="false" customHeight="false" outlineLevel="0" collapsed="false">
      <c r="A506" s="9"/>
      <c r="B506" s="9"/>
      <c r="C506" s="10" t="str">
        <f aca="false">IF($B506="","",IFERROR(INDEX('Client Master'!$C:$C,MATCH($B506,'Client Master'!$B:$B,0)),"Code not found"))</f>
        <v/>
      </c>
      <c r="D506" s="9"/>
      <c r="E506" s="9"/>
      <c r="F506" s="9"/>
      <c r="G506" s="11"/>
      <c r="H506" s="11"/>
      <c r="I506" s="9"/>
      <c r="J506" s="12"/>
      <c r="K506" s="11"/>
      <c r="L506" s="9"/>
      <c r="N506" s="0" t="str">
        <f aca="false">IF(AND($J506&gt;0,$K506="",$A506&lt;&gt;""),SUMPRODUCT(($J$2:$J$600&gt;0)*($K$2:$K$600="")*($A$2:$A$600&lt;&gt;"")*((IF($G$2:$G$600="",99999999,$G$2:$G$600))&lt;IF($G506="",99999999,$G506)))+SUMPRODUCT(($J$2:$J506&gt;0)*($K$2:$K506="")*($A$2:$A506&lt;&gt;"")*((IF($G$2:$G506="",99999999,$G$2:$G506))=IF($G506="",99999999,$G506))),"")</f>
        <v/>
      </c>
      <c r="O506" s="0" t="str">
        <f aca="false">IF(AND($F506="Not Started",$A506&lt;&gt;""),SUMPRODUCT(($F$2:$F$600="Not Started")*($A$2:$A$600&lt;&gt;"")*((IF($G$2:$G$600="",99999999,$G$2:$G$600))&lt;IF($G506="",99999999,$G506)))+SUMPRODUCT(($F$2:$F506="Not Started")*($A$2:$A506&lt;&gt;"")*((IF($G$2:$G506="",99999999,$G$2:$G506))=IF($G506="",99999999,$G506))),"")</f>
        <v/>
      </c>
      <c r="P506" s="0" t="str">
        <f aca="false">IF(AND(OR($F506="In Progress",$F506="Pending Client Data",$F506="Under Review"),$A506&lt;&gt;""),SUMPRODUCT((($F$2:$F$600="In Progress")+($F$2:$F$600="Pending Client Data")+($F$2:$F$600="Under Review"))*($A$2:$A$600&lt;&gt;"")*((IF($G$2:$G$600="",99999999,$G$2:$G$600))&lt;IF($G506="",99999999,$G506)))+SUMPRODUCT((($F$2:$F506="In Progress")+($F$2:$F506="Pending Client Data")+($F$2:$F506="Under Review"))*($A$2:$A506&lt;&gt;"")*((IF($G$2:$G506="",99999999,$G$2:$G506))=IF($G506="",99999999,$G506))),"")</f>
        <v/>
      </c>
    </row>
    <row r="507" customFormat="false" ht="15" hidden="false" customHeight="false" outlineLevel="0" collapsed="false">
      <c r="A507" s="9"/>
      <c r="B507" s="9"/>
      <c r="C507" s="10" t="str">
        <f aca="false">IF($B507="","",IFERROR(INDEX('Client Master'!$C:$C,MATCH($B507,'Client Master'!$B:$B,0)),"Code not found"))</f>
        <v/>
      </c>
      <c r="D507" s="9"/>
      <c r="E507" s="9"/>
      <c r="F507" s="9"/>
      <c r="G507" s="11"/>
      <c r="H507" s="11"/>
      <c r="I507" s="9"/>
      <c r="J507" s="12"/>
      <c r="K507" s="11"/>
      <c r="L507" s="9"/>
      <c r="N507" s="0" t="str">
        <f aca="false">IF(AND($J507&gt;0,$K507="",$A507&lt;&gt;""),SUMPRODUCT(($J$2:$J$600&gt;0)*($K$2:$K$600="")*($A$2:$A$600&lt;&gt;"")*((IF($G$2:$G$600="",99999999,$G$2:$G$600))&lt;IF($G507="",99999999,$G507)))+SUMPRODUCT(($J$2:$J507&gt;0)*($K$2:$K507="")*($A$2:$A507&lt;&gt;"")*((IF($G$2:$G507="",99999999,$G$2:$G507))=IF($G507="",99999999,$G507))),"")</f>
        <v/>
      </c>
      <c r="O507" s="0" t="str">
        <f aca="false">IF(AND($F507="Not Started",$A507&lt;&gt;""),SUMPRODUCT(($F$2:$F$600="Not Started")*($A$2:$A$600&lt;&gt;"")*((IF($G$2:$G$600="",99999999,$G$2:$G$600))&lt;IF($G507="",99999999,$G507)))+SUMPRODUCT(($F$2:$F507="Not Started")*($A$2:$A507&lt;&gt;"")*((IF($G$2:$G507="",99999999,$G$2:$G507))=IF($G507="",99999999,$G507))),"")</f>
        <v/>
      </c>
      <c r="P507" s="0" t="str">
        <f aca="false">IF(AND(OR($F507="In Progress",$F507="Pending Client Data",$F507="Under Review"),$A507&lt;&gt;""),SUMPRODUCT((($F$2:$F$600="In Progress")+($F$2:$F$600="Pending Client Data")+($F$2:$F$600="Under Review"))*($A$2:$A$600&lt;&gt;"")*((IF($G$2:$G$600="",99999999,$G$2:$G$600))&lt;IF($G507="",99999999,$G507)))+SUMPRODUCT((($F$2:$F507="In Progress")+($F$2:$F507="Pending Client Data")+($F$2:$F507="Under Review"))*($A$2:$A507&lt;&gt;"")*((IF($G$2:$G507="",99999999,$G$2:$G507))=IF($G507="",99999999,$G507))),"")</f>
        <v/>
      </c>
    </row>
    <row r="508" customFormat="false" ht="15" hidden="false" customHeight="false" outlineLevel="0" collapsed="false">
      <c r="A508" s="9"/>
      <c r="B508" s="9"/>
      <c r="C508" s="10" t="str">
        <f aca="false">IF($B508="","",IFERROR(INDEX('Client Master'!$C:$C,MATCH($B508,'Client Master'!$B:$B,0)),"Code not found"))</f>
        <v/>
      </c>
      <c r="D508" s="9"/>
      <c r="E508" s="9"/>
      <c r="F508" s="9"/>
      <c r="G508" s="11"/>
      <c r="H508" s="11"/>
      <c r="I508" s="9"/>
      <c r="J508" s="12"/>
      <c r="K508" s="11"/>
      <c r="L508" s="9"/>
      <c r="N508" s="0" t="str">
        <f aca="false">IF(AND($J508&gt;0,$K508="",$A508&lt;&gt;""),SUMPRODUCT(($J$2:$J$600&gt;0)*($K$2:$K$600="")*($A$2:$A$600&lt;&gt;"")*((IF($G$2:$G$600="",99999999,$G$2:$G$600))&lt;IF($G508="",99999999,$G508)))+SUMPRODUCT(($J$2:$J508&gt;0)*($K$2:$K508="")*($A$2:$A508&lt;&gt;"")*((IF($G$2:$G508="",99999999,$G$2:$G508))=IF($G508="",99999999,$G508))),"")</f>
        <v/>
      </c>
      <c r="O508" s="0" t="str">
        <f aca="false">IF(AND($F508="Not Started",$A508&lt;&gt;""),SUMPRODUCT(($F$2:$F$600="Not Started")*($A$2:$A$600&lt;&gt;"")*((IF($G$2:$G$600="",99999999,$G$2:$G$600))&lt;IF($G508="",99999999,$G508)))+SUMPRODUCT(($F$2:$F508="Not Started")*($A$2:$A508&lt;&gt;"")*((IF($G$2:$G508="",99999999,$G$2:$G508))=IF($G508="",99999999,$G508))),"")</f>
        <v/>
      </c>
      <c r="P508" s="0" t="str">
        <f aca="false">IF(AND(OR($F508="In Progress",$F508="Pending Client Data",$F508="Under Review"),$A508&lt;&gt;""),SUMPRODUCT((($F$2:$F$600="In Progress")+($F$2:$F$600="Pending Client Data")+($F$2:$F$600="Under Review"))*($A$2:$A$600&lt;&gt;"")*((IF($G$2:$G$600="",99999999,$G$2:$G$600))&lt;IF($G508="",99999999,$G508)))+SUMPRODUCT((($F$2:$F508="In Progress")+($F$2:$F508="Pending Client Data")+($F$2:$F508="Under Review"))*($A$2:$A508&lt;&gt;"")*((IF($G$2:$G508="",99999999,$G$2:$G508))=IF($G508="",99999999,$G508))),"")</f>
        <v/>
      </c>
    </row>
    <row r="509" customFormat="false" ht="15" hidden="false" customHeight="false" outlineLevel="0" collapsed="false">
      <c r="A509" s="9"/>
      <c r="B509" s="9"/>
      <c r="C509" s="10" t="str">
        <f aca="false">IF($B509="","",IFERROR(INDEX('Client Master'!$C:$C,MATCH($B509,'Client Master'!$B:$B,0)),"Code not found"))</f>
        <v/>
      </c>
      <c r="D509" s="9"/>
      <c r="E509" s="9"/>
      <c r="F509" s="9"/>
      <c r="G509" s="11"/>
      <c r="H509" s="11"/>
      <c r="I509" s="9"/>
      <c r="J509" s="12"/>
      <c r="K509" s="11"/>
      <c r="L509" s="9"/>
      <c r="N509" s="0" t="str">
        <f aca="false">IF(AND($J509&gt;0,$K509="",$A509&lt;&gt;""),SUMPRODUCT(($J$2:$J$600&gt;0)*($K$2:$K$600="")*($A$2:$A$600&lt;&gt;"")*((IF($G$2:$G$600="",99999999,$G$2:$G$600))&lt;IF($G509="",99999999,$G509)))+SUMPRODUCT(($J$2:$J509&gt;0)*($K$2:$K509="")*($A$2:$A509&lt;&gt;"")*((IF($G$2:$G509="",99999999,$G$2:$G509))=IF($G509="",99999999,$G509))),"")</f>
        <v/>
      </c>
      <c r="O509" s="0" t="str">
        <f aca="false">IF(AND($F509="Not Started",$A509&lt;&gt;""),SUMPRODUCT(($F$2:$F$600="Not Started")*($A$2:$A$600&lt;&gt;"")*((IF($G$2:$G$600="",99999999,$G$2:$G$600))&lt;IF($G509="",99999999,$G509)))+SUMPRODUCT(($F$2:$F509="Not Started")*($A$2:$A509&lt;&gt;"")*((IF($G$2:$G509="",99999999,$G$2:$G509))=IF($G509="",99999999,$G509))),"")</f>
        <v/>
      </c>
      <c r="P509" s="0" t="str">
        <f aca="false">IF(AND(OR($F509="In Progress",$F509="Pending Client Data",$F509="Under Review"),$A509&lt;&gt;""),SUMPRODUCT((($F$2:$F$600="In Progress")+($F$2:$F$600="Pending Client Data")+($F$2:$F$600="Under Review"))*($A$2:$A$600&lt;&gt;"")*((IF($G$2:$G$600="",99999999,$G$2:$G$600))&lt;IF($G509="",99999999,$G509)))+SUMPRODUCT((($F$2:$F509="In Progress")+($F$2:$F509="Pending Client Data")+($F$2:$F509="Under Review"))*($A$2:$A509&lt;&gt;"")*((IF($G$2:$G509="",99999999,$G$2:$G509))=IF($G509="",99999999,$G509))),"")</f>
        <v/>
      </c>
    </row>
    <row r="510" customFormat="false" ht="15" hidden="false" customHeight="false" outlineLevel="0" collapsed="false">
      <c r="A510" s="9"/>
      <c r="B510" s="9"/>
      <c r="C510" s="10" t="str">
        <f aca="false">IF($B510="","",IFERROR(INDEX('Client Master'!$C:$C,MATCH($B510,'Client Master'!$B:$B,0)),"Code not found"))</f>
        <v/>
      </c>
      <c r="D510" s="9"/>
      <c r="E510" s="9"/>
      <c r="F510" s="9"/>
      <c r="G510" s="11"/>
      <c r="H510" s="11"/>
      <c r="I510" s="9"/>
      <c r="J510" s="12"/>
      <c r="K510" s="11"/>
      <c r="L510" s="9"/>
      <c r="N510" s="0" t="str">
        <f aca="false">IF(AND($J510&gt;0,$K510="",$A510&lt;&gt;""),SUMPRODUCT(($J$2:$J$600&gt;0)*($K$2:$K$600="")*($A$2:$A$600&lt;&gt;"")*((IF($G$2:$G$600="",99999999,$G$2:$G$600))&lt;IF($G510="",99999999,$G510)))+SUMPRODUCT(($J$2:$J510&gt;0)*($K$2:$K510="")*($A$2:$A510&lt;&gt;"")*((IF($G$2:$G510="",99999999,$G$2:$G510))=IF($G510="",99999999,$G510))),"")</f>
        <v/>
      </c>
      <c r="O510" s="0" t="str">
        <f aca="false">IF(AND($F510="Not Started",$A510&lt;&gt;""),SUMPRODUCT(($F$2:$F$600="Not Started")*($A$2:$A$600&lt;&gt;"")*((IF($G$2:$G$600="",99999999,$G$2:$G$600))&lt;IF($G510="",99999999,$G510)))+SUMPRODUCT(($F$2:$F510="Not Started")*($A$2:$A510&lt;&gt;"")*((IF($G$2:$G510="",99999999,$G$2:$G510))=IF($G510="",99999999,$G510))),"")</f>
        <v/>
      </c>
      <c r="P510" s="0" t="str">
        <f aca="false">IF(AND(OR($F510="In Progress",$F510="Pending Client Data",$F510="Under Review"),$A510&lt;&gt;""),SUMPRODUCT((($F$2:$F$600="In Progress")+($F$2:$F$600="Pending Client Data")+($F$2:$F$600="Under Review"))*($A$2:$A$600&lt;&gt;"")*((IF($G$2:$G$600="",99999999,$G$2:$G$600))&lt;IF($G510="",99999999,$G510)))+SUMPRODUCT((($F$2:$F510="In Progress")+($F$2:$F510="Pending Client Data")+($F$2:$F510="Under Review"))*($A$2:$A510&lt;&gt;"")*((IF($G$2:$G510="",99999999,$G$2:$G510))=IF($G510="",99999999,$G510))),"")</f>
        <v/>
      </c>
    </row>
    <row r="511" customFormat="false" ht="15" hidden="false" customHeight="false" outlineLevel="0" collapsed="false">
      <c r="A511" s="9"/>
      <c r="B511" s="9"/>
      <c r="C511" s="10" t="str">
        <f aca="false">IF($B511="","",IFERROR(INDEX('Client Master'!$C:$C,MATCH($B511,'Client Master'!$B:$B,0)),"Code not found"))</f>
        <v/>
      </c>
      <c r="D511" s="9"/>
      <c r="E511" s="9"/>
      <c r="F511" s="9"/>
      <c r="G511" s="11"/>
      <c r="H511" s="11"/>
      <c r="I511" s="9"/>
      <c r="J511" s="12"/>
      <c r="K511" s="11"/>
      <c r="L511" s="9"/>
      <c r="N511" s="0" t="str">
        <f aca="false">IF(AND($J511&gt;0,$K511="",$A511&lt;&gt;""),SUMPRODUCT(($J$2:$J$600&gt;0)*($K$2:$K$600="")*($A$2:$A$600&lt;&gt;"")*((IF($G$2:$G$600="",99999999,$G$2:$G$600))&lt;IF($G511="",99999999,$G511)))+SUMPRODUCT(($J$2:$J511&gt;0)*($K$2:$K511="")*($A$2:$A511&lt;&gt;"")*((IF($G$2:$G511="",99999999,$G$2:$G511))=IF($G511="",99999999,$G511))),"")</f>
        <v/>
      </c>
      <c r="O511" s="0" t="str">
        <f aca="false">IF(AND($F511="Not Started",$A511&lt;&gt;""),SUMPRODUCT(($F$2:$F$600="Not Started")*($A$2:$A$600&lt;&gt;"")*((IF($G$2:$G$600="",99999999,$G$2:$G$600))&lt;IF($G511="",99999999,$G511)))+SUMPRODUCT(($F$2:$F511="Not Started")*($A$2:$A511&lt;&gt;"")*((IF($G$2:$G511="",99999999,$G$2:$G511))=IF($G511="",99999999,$G511))),"")</f>
        <v/>
      </c>
      <c r="P511" s="0" t="str">
        <f aca="false">IF(AND(OR($F511="In Progress",$F511="Pending Client Data",$F511="Under Review"),$A511&lt;&gt;""),SUMPRODUCT((($F$2:$F$600="In Progress")+($F$2:$F$600="Pending Client Data")+($F$2:$F$600="Under Review"))*($A$2:$A$600&lt;&gt;"")*((IF($G$2:$G$600="",99999999,$G$2:$G$600))&lt;IF($G511="",99999999,$G511)))+SUMPRODUCT((($F$2:$F511="In Progress")+($F$2:$F511="Pending Client Data")+($F$2:$F511="Under Review"))*($A$2:$A511&lt;&gt;"")*((IF($G$2:$G511="",99999999,$G$2:$G511))=IF($G511="",99999999,$G511))),"")</f>
        <v/>
      </c>
    </row>
    <row r="512" customFormat="false" ht="15" hidden="false" customHeight="false" outlineLevel="0" collapsed="false">
      <c r="A512" s="9"/>
      <c r="B512" s="9"/>
      <c r="C512" s="10" t="str">
        <f aca="false">IF($B512="","",IFERROR(INDEX('Client Master'!$C:$C,MATCH($B512,'Client Master'!$B:$B,0)),"Code not found"))</f>
        <v/>
      </c>
      <c r="D512" s="9"/>
      <c r="E512" s="9"/>
      <c r="F512" s="9"/>
      <c r="G512" s="11"/>
      <c r="H512" s="11"/>
      <c r="I512" s="9"/>
      <c r="J512" s="12"/>
      <c r="K512" s="11"/>
      <c r="L512" s="9"/>
      <c r="N512" s="0" t="str">
        <f aca="false">IF(AND($J512&gt;0,$K512="",$A512&lt;&gt;""),SUMPRODUCT(($J$2:$J$600&gt;0)*($K$2:$K$600="")*($A$2:$A$600&lt;&gt;"")*((IF($G$2:$G$600="",99999999,$G$2:$G$600))&lt;IF($G512="",99999999,$G512)))+SUMPRODUCT(($J$2:$J512&gt;0)*($K$2:$K512="")*($A$2:$A512&lt;&gt;"")*((IF($G$2:$G512="",99999999,$G$2:$G512))=IF($G512="",99999999,$G512))),"")</f>
        <v/>
      </c>
      <c r="O512" s="0" t="str">
        <f aca="false">IF(AND($F512="Not Started",$A512&lt;&gt;""),SUMPRODUCT(($F$2:$F$600="Not Started")*($A$2:$A$600&lt;&gt;"")*((IF($G$2:$G$600="",99999999,$G$2:$G$600))&lt;IF($G512="",99999999,$G512)))+SUMPRODUCT(($F$2:$F512="Not Started")*($A$2:$A512&lt;&gt;"")*((IF($G$2:$G512="",99999999,$G$2:$G512))=IF($G512="",99999999,$G512))),"")</f>
        <v/>
      </c>
      <c r="P512" s="0" t="str">
        <f aca="false">IF(AND(OR($F512="In Progress",$F512="Pending Client Data",$F512="Under Review"),$A512&lt;&gt;""),SUMPRODUCT((($F$2:$F$600="In Progress")+($F$2:$F$600="Pending Client Data")+($F$2:$F$600="Under Review"))*($A$2:$A$600&lt;&gt;"")*((IF($G$2:$G$600="",99999999,$G$2:$G$600))&lt;IF($G512="",99999999,$G512)))+SUMPRODUCT((($F$2:$F512="In Progress")+($F$2:$F512="Pending Client Data")+($F$2:$F512="Under Review"))*($A$2:$A512&lt;&gt;"")*((IF($G$2:$G512="",99999999,$G$2:$G512))=IF($G512="",99999999,$G512))),"")</f>
        <v/>
      </c>
    </row>
    <row r="513" customFormat="false" ht="15" hidden="false" customHeight="false" outlineLevel="0" collapsed="false">
      <c r="A513" s="9"/>
      <c r="B513" s="9"/>
      <c r="C513" s="10" t="str">
        <f aca="false">IF($B513="","",IFERROR(INDEX('Client Master'!$C:$C,MATCH($B513,'Client Master'!$B:$B,0)),"Code not found"))</f>
        <v/>
      </c>
      <c r="D513" s="9"/>
      <c r="E513" s="9"/>
      <c r="F513" s="9"/>
      <c r="G513" s="11"/>
      <c r="H513" s="11"/>
      <c r="I513" s="9"/>
      <c r="J513" s="12"/>
      <c r="K513" s="11"/>
      <c r="L513" s="9"/>
      <c r="N513" s="0" t="str">
        <f aca="false">IF(AND($J513&gt;0,$K513="",$A513&lt;&gt;""),SUMPRODUCT(($J$2:$J$600&gt;0)*($K$2:$K$600="")*($A$2:$A$600&lt;&gt;"")*((IF($G$2:$G$600="",99999999,$G$2:$G$600))&lt;IF($G513="",99999999,$G513)))+SUMPRODUCT(($J$2:$J513&gt;0)*($K$2:$K513="")*($A$2:$A513&lt;&gt;"")*((IF($G$2:$G513="",99999999,$G$2:$G513))=IF($G513="",99999999,$G513))),"")</f>
        <v/>
      </c>
      <c r="O513" s="0" t="str">
        <f aca="false">IF(AND($F513="Not Started",$A513&lt;&gt;""),SUMPRODUCT(($F$2:$F$600="Not Started")*($A$2:$A$600&lt;&gt;"")*((IF($G$2:$G$600="",99999999,$G$2:$G$600))&lt;IF($G513="",99999999,$G513)))+SUMPRODUCT(($F$2:$F513="Not Started")*($A$2:$A513&lt;&gt;"")*((IF($G$2:$G513="",99999999,$G$2:$G513))=IF($G513="",99999999,$G513))),"")</f>
        <v/>
      </c>
      <c r="P513" s="0" t="str">
        <f aca="false">IF(AND(OR($F513="In Progress",$F513="Pending Client Data",$F513="Under Review"),$A513&lt;&gt;""),SUMPRODUCT((($F$2:$F$600="In Progress")+($F$2:$F$600="Pending Client Data")+($F$2:$F$600="Under Review"))*($A$2:$A$600&lt;&gt;"")*((IF($G$2:$G$600="",99999999,$G$2:$G$600))&lt;IF($G513="",99999999,$G513)))+SUMPRODUCT((($F$2:$F513="In Progress")+($F$2:$F513="Pending Client Data")+($F$2:$F513="Under Review"))*($A$2:$A513&lt;&gt;"")*((IF($G$2:$G513="",99999999,$G$2:$G513))=IF($G513="",99999999,$G513))),"")</f>
        <v/>
      </c>
    </row>
    <row r="514" customFormat="false" ht="15" hidden="false" customHeight="false" outlineLevel="0" collapsed="false">
      <c r="A514" s="9"/>
      <c r="B514" s="9"/>
      <c r="C514" s="10" t="str">
        <f aca="false">IF($B514="","",IFERROR(INDEX('Client Master'!$C:$C,MATCH($B514,'Client Master'!$B:$B,0)),"Code not found"))</f>
        <v/>
      </c>
      <c r="D514" s="9"/>
      <c r="E514" s="9"/>
      <c r="F514" s="9"/>
      <c r="G514" s="11"/>
      <c r="H514" s="11"/>
      <c r="I514" s="9"/>
      <c r="J514" s="12"/>
      <c r="K514" s="11"/>
      <c r="L514" s="9"/>
      <c r="N514" s="0" t="str">
        <f aca="false">IF(AND($J514&gt;0,$K514="",$A514&lt;&gt;""),SUMPRODUCT(($J$2:$J$600&gt;0)*($K$2:$K$600="")*($A$2:$A$600&lt;&gt;"")*((IF($G$2:$G$600="",99999999,$G$2:$G$600))&lt;IF($G514="",99999999,$G514)))+SUMPRODUCT(($J$2:$J514&gt;0)*($K$2:$K514="")*($A$2:$A514&lt;&gt;"")*((IF($G$2:$G514="",99999999,$G$2:$G514))=IF($G514="",99999999,$G514))),"")</f>
        <v/>
      </c>
      <c r="O514" s="0" t="str">
        <f aca="false">IF(AND($F514="Not Started",$A514&lt;&gt;""),SUMPRODUCT(($F$2:$F$600="Not Started")*($A$2:$A$600&lt;&gt;"")*((IF($G$2:$G$600="",99999999,$G$2:$G$600))&lt;IF($G514="",99999999,$G514)))+SUMPRODUCT(($F$2:$F514="Not Started")*($A$2:$A514&lt;&gt;"")*((IF($G$2:$G514="",99999999,$G$2:$G514))=IF($G514="",99999999,$G514))),"")</f>
        <v/>
      </c>
      <c r="P514" s="0" t="str">
        <f aca="false">IF(AND(OR($F514="In Progress",$F514="Pending Client Data",$F514="Under Review"),$A514&lt;&gt;""),SUMPRODUCT((($F$2:$F$600="In Progress")+($F$2:$F$600="Pending Client Data")+($F$2:$F$600="Under Review"))*($A$2:$A$600&lt;&gt;"")*((IF($G$2:$G$600="",99999999,$G$2:$G$600))&lt;IF($G514="",99999999,$G514)))+SUMPRODUCT((($F$2:$F514="In Progress")+($F$2:$F514="Pending Client Data")+($F$2:$F514="Under Review"))*($A$2:$A514&lt;&gt;"")*((IF($G$2:$G514="",99999999,$G$2:$G514))=IF($G514="",99999999,$G514))),"")</f>
        <v/>
      </c>
    </row>
    <row r="515" customFormat="false" ht="15" hidden="false" customHeight="false" outlineLevel="0" collapsed="false">
      <c r="A515" s="9"/>
      <c r="B515" s="9"/>
      <c r="C515" s="10" t="str">
        <f aca="false">IF($B515="","",IFERROR(INDEX('Client Master'!$C:$C,MATCH($B515,'Client Master'!$B:$B,0)),"Code not found"))</f>
        <v/>
      </c>
      <c r="D515" s="9"/>
      <c r="E515" s="9"/>
      <c r="F515" s="9"/>
      <c r="G515" s="11"/>
      <c r="H515" s="11"/>
      <c r="I515" s="9"/>
      <c r="J515" s="12"/>
      <c r="K515" s="11"/>
      <c r="L515" s="9"/>
      <c r="N515" s="0" t="str">
        <f aca="false">IF(AND($J515&gt;0,$K515="",$A515&lt;&gt;""),SUMPRODUCT(($J$2:$J$600&gt;0)*($K$2:$K$600="")*($A$2:$A$600&lt;&gt;"")*((IF($G$2:$G$600="",99999999,$G$2:$G$600))&lt;IF($G515="",99999999,$G515)))+SUMPRODUCT(($J$2:$J515&gt;0)*($K$2:$K515="")*($A$2:$A515&lt;&gt;"")*((IF($G$2:$G515="",99999999,$G$2:$G515))=IF($G515="",99999999,$G515))),"")</f>
        <v/>
      </c>
      <c r="O515" s="0" t="str">
        <f aca="false">IF(AND($F515="Not Started",$A515&lt;&gt;""),SUMPRODUCT(($F$2:$F$600="Not Started")*($A$2:$A$600&lt;&gt;"")*((IF($G$2:$G$600="",99999999,$G$2:$G$600))&lt;IF($G515="",99999999,$G515)))+SUMPRODUCT(($F$2:$F515="Not Started")*($A$2:$A515&lt;&gt;"")*((IF($G$2:$G515="",99999999,$G$2:$G515))=IF($G515="",99999999,$G515))),"")</f>
        <v/>
      </c>
      <c r="P515" s="0" t="str">
        <f aca="false">IF(AND(OR($F515="In Progress",$F515="Pending Client Data",$F515="Under Review"),$A515&lt;&gt;""),SUMPRODUCT((($F$2:$F$600="In Progress")+($F$2:$F$600="Pending Client Data")+($F$2:$F$600="Under Review"))*($A$2:$A$600&lt;&gt;"")*((IF($G$2:$G$600="",99999999,$G$2:$G$600))&lt;IF($G515="",99999999,$G515)))+SUMPRODUCT((($F$2:$F515="In Progress")+($F$2:$F515="Pending Client Data")+($F$2:$F515="Under Review"))*($A$2:$A515&lt;&gt;"")*((IF($G$2:$G515="",99999999,$G$2:$G515))=IF($G515="",99999999,$G515))),"")</f>
        <v/>
      </c>
    </row>
    <row r="516" customFormat="false" ht="15" hidden="false" customHeight="false" outlineLevel="0" collapsed="false">
      <c r="A516" s="9"/>
      <c r="B516" s="9"/>
      <c r="C516" s="10" t="str">
        <f aca="false">IF($B516="","",IFERROR(INDEX('Client Master'!$C:$C,MATCH($B516,'Client Master'!$B:$B,0)),"Code not found"))</f>
        <v/>
      </c>
      <c r="D516" s="9"/>
      <c r="E516" s="9"/>
      <c r="F516" s="9"/>
      <c r="G516" s="11"/>
      <c r="H516" s="11"/>
      <c r="I516" s="9"/>
      <c r="J516" s="12"/>
      <c r="K516" s="11"/>
      <c r="L516" s="9"/>
      <c r="N516" s="0" t="str">
        <f aca="false">IF(AND($J516&gt;0,$K516="",$A516&lt;&gt;""),SUMPRODUCT(($J$2:$J$600&gt;0)*($K$2:$K$600="")*($A$2:$A$600&lt;&gt;"")*((IF($G$2:$G$600="",99999999,$G$2:$G$600))&lt;IF($G516="",99999999,$G516)))+SUMPRODUCT(($J$2:$J516&gt;0)*($K$2:$K516="")*($A$2:$A516&lt;&gt;"")*((IF($G$2:$G516="",99999999,$G$2:$G516))=IF($G516="",99999999,$G516))),"")</f>
        <v/>
      </c>
      <c r="O516" s="0" t="str">
        <f aca="false">IF(AND($F516="Not Started",$A516&lt;&gt;""),SUMPRODUCT(($F$2:$F$600="Not Started")*($A$2:$A$600&lt;&gt;"")*((IF($G$2:$G$600="",99999999,$G$2:$G$600))&lt;IF($G516="",99999999,$G516)))+SUMPRODUCT(($F$2:$F516="Not Started")*($A$2:$A516&lt;&gt;"")*((IF($G$2:$G516="",99999999,$G$2:$G516))=IF($G516="",99999999,$G516))),"")</f>
        <v/>
      </c>
      <c r="P516" s="0" t="str">
        <f aca="false">IF(AND(OR($F516="In Progress",$F516="Pending Client Data",$F516="Under Review"),$A516&lt;&gt;""),SUMPRODUCT((($F$2:$F$600="In Progress")+($F$2:$F$600="Pending Client Data")+($F$2:$F$600="Under Review"))*($A$2:$A$600&lt;&gt;"")*((IF($G$2:$G$600="",99999999,$G$2:$G$600))&lt;IF($G516="",99999999,$G516)))+SUMPRODUCT((($F$2:$F516="In Progress")+($F$2:$F516="Pending Client Data")+($F$2:$F516="Under Review"))*($A$2:$A516&lt;&gt;"")*((IF($G$2:$G516="",99999999,$G$2:$G516))=IF($G516="",99999999,$G516))),"")</f>
        <v/>
      </c>
    </row>
    <row r="517" customFormat="false" ht="15" hidden="false" customHeight="false" outlineLevel="0" collapsed="false">
      <c r="A517" s="9"/>
      <c r="B517" s="9"/>
      <c r="C517" s="10" t="str">
        <f aca="false">IF($B517="","",IFERROR(INDEX('Client Master'!$C:$C,MATCH($B517,'Client Master'!$B:$B,0)),"Code not found"))</f>
        <v/>
      </c>
      <c r="D517" s="9"/>
      <c r="E517" s="9"/>
      <c r="F517" s="9"/>
      <c r="G517" s="11"/>
      <c r="H517" s="11"/>
      <c r="I517" s="9"/>
      <c r="J517" s="12"/>
      <c r="K517" s="11"/>
      <c r="L517" s="9"/>
      <c r="N517" s="0" t="str">
        <f aca="false">IF(AND($J517&gt;0,$K517="",$A517&lt;&gt;""),SUMPRODUCT(($J$2:$J$600&gt;0)*($K$2:$K$600="")*($A$2:$A$600&lt;&gt;"")*((IF($G$2:$G$600="",99999999,$G$2:$G$600))&lt;IF($G517="",99999999,$G517)))+SUMPRODUCT(($J$2:$J517&gt;0)*($K$2:$K517="")*($A$2:$A517&lt;&gt;"")*((IF($G$2:$G517="",99999999,$G$2:$G517))=IF($G517="",99999999,$G517))),"")</f>
        <v/>
      </c>
      <c r="O517" s="0" t="str">
        <f aca="false">IF(AND($F517="Not Started",$A517&lt;&gt;""),SUMPRODUCT(($F$2:$F$600="Not Started")*($A$2:$A$600&lt;&gt;"")*((IF($G$2:$G$600="",99999999,$G$2:$G$600))&lt;IF($G517="",99999999,$G517)))+SUMPRODUCT(($F$2:$F517="Not Started")*($A$2:$A517&lt;&gt;"")*((IF($G$2:$G517="",99999999,$G$2:$G517))=IF($G517="",99999999,$G517))),"")</f>
        <v/>
      </c>
      <c r="P517" s="0" t="str">
        <f aca="false">IF(AND(OR($F517="In Progress",$F517="Pending Client Data",$F517="Under Review"),$A517&lt;&gt;""),SUMPRODUCT((($F$2:$F$600="In Progress")+($F$2:$F$600="Pending Client Data")+($F$2:$F$600="Under Review"))*($A$2:$A$600&lt;&gt;"")*((IF($G$2:$G$600="",99999999,$G$2:$G$600))&lt;IF($G517="",99999999,$G517)))+SUMPRODUCT((($F$2:$F517="In Progress")+($F$2:$F517="Pending Client Data")+($F$2:$F517="Under Review"))*($A$2:$A517&lt;&gt;"")*((IF($G$2:$G517="",99999999,$G$2:$G517))=IF($G517="",99999999,$G517))),"")</f>
        <v/>
      </c>
    </row>
    <row r="518" customFormat="false" ht="15" hidden="false" customHeight="false" outlineLevel="0" collapsed="false">
      <c r="A518" s="9"/>
      <c r="B518" s="9"/>
      <c r="C518" s="10" t="str">
        <f aca="false">IF($B518="","",IFERROR(INDEX('Client Master'!$C:$C,MATCH($B518,'Client Master'!$B:$B,0)),"Code not found"))</f>
        <v/>
      </c>
      <c r="D518" s="9"/>
      <c r="E518" s="9"/>
      <c r="F518" s="9"/>
      <c r="G518" s="11"/>
      <c r="H518" s="11"/>
      <c r="I518" s="9"/>
      <c r="J518" s="12"/>
      <c r="K518" s="11"/>
      <c r="L518" s="9"/>
      <c r="N518" s="0" t="str">
        <f aca="false">IF(AND($J518&gt;0,$K518="",$A518&lt;&gt;""),SUMPRODUCT(($J$2:$J$600&gt;0)*($K$2:$K$600="")*($A$2:$A$600&lt;&gt;"")*((IF($G$2:$G$600="",99999999,$G$2:$G$600))&lt;IF($G518="",99999999,$G518)))+SUMPRODUCT(($J$2:$J518&gt;0)*($K$2:$K518="")*($A$2:$A518&lt;&gt;"")*((IF($G$2:$G518="",99999999,$G$2:$G518))=IF($G518="",99999999,$G518))),"")</f>
        <v/>
      </c>
      <c r="O518" s="0" t="str">
        <f aca="false">IF(AND($F518="Not Started",$A518&lt;&gt;""),SUMPRODUCT(($F$2:$F$600="Not Started")*($A$2:$A$600&lt;&gt;"")*((IF($G$2:$G$600="",99999999,$G$2:$G$600))&lt;IF($G518="",99999999,$G518)))+SUMPRODUCT(($F$2:$F518="Not Started")*($A$2:$A518&lt;&gt;"")*((IF($G$2:$G518="",99999999,$G$2:$G518))=IF($G518="",99999999,$G518))),"")</f>
        <v/>
      </c>
      <c r="P518" s="0" t="str">
        <f aca="false">IF(AND(OR($F518="In Progress",$F518="Pending Client Data",$F518="Under Review"),$A518&lt;&gt;""),SUMPRODUCT((($F$2:$F$600="In Progress")+($F$2:$F$600="Pending Client Data")+($F$2:$F$600="Under Review"))*($A$2:$A$600&lt;&gt;"")*((IF($G$2:$G$600="",99999999,$G$2:$G$600))&lt;IF($G518="",99999999,$G518)))+SUMPRODUCT((($F$2:$F518="In Progress")+($F$2:$F518="Pending Client Data")+($F$2:$F518="Under Review"))*($A$2:$A518&lt;&gt;"")*((IF($G$2:$G518="",99999999,$G$2:$G518))=IF($G518="",99999999,$G518))),"")</f>
        <v/>
      </c>
    </row>
    <row r="519" customFormat="false" ht="15" hidden="false" customHeight="false" outlineLevel="0" collapsed="false">
      <c r="A519" s="9"/>
      <c r="B519" s="9"/>
      <c r="C519" s="10" t="str">
        <f aca="false">IF($B519="","",IFERROR(INDEX('Client Master'!$C:$C,MATCH($B519,'Client Master'!$B:$B,0)),"Code not found"))</f>
        <v/>
      </c>
      <c r="D519" s="9"/>
      <c r="E519" s="9"/>
      <c r="F519" s="9"/>
      <c r="G519" s="11"/>
      <c r="H519" s="11"/>
      <c r="I519" s="9"/>
      <c r="J519" s="12"/>
      <c r="K519" s="11"/>
      <c r="L519" s="9"/>
      <c r="N519" s="0" t="str">
        <f aca="false">IF(AND($J519&gt;0,$K519="",$A519&lt;&gt;""),SUMPRODUCT(($J$2:$J$600&gt;0)*($K$2:$K$600="")*($A$2:$A$600&lt;&gt;"")*((IF($G$2:$G$600="",99999999,$G$2:$G$600))&lt;IF($G519="",99999999,$G519)))+SUMPRODUCT(($J$2:$J519&gt;0)*($K$2:$K519="")*($A$2:$A519&lt;&gt;"")*((IF($G$2:$G519="",99999999,$G$2:$G519))=IF($G519="",99999999,$G519))),"")</f>
        <v/>
      </c>
      <c r="O519" s="0" t="str">
        <f aca="false">IF(AND($F519="Not Started",$A519&lt;&gt;""),SUMPRODUCT(($F$2:$F$600="Not Started")*($A$2:$A$600&lt;&gt;"")*((IF($G$2:$G$600="",99999999,$G$2:$G$600))&lt;IF($G519="",99999999,$G519)))+SUMPRODUCT(($F$2:$F519="Not Started")*($A$2:$A519&lt;&gt;"")*((IF($G$2:$G519="",99999999,$G$2:$G519))=IF($G519="",99999999,$G519))),"")</f>
        <v/>
      </c>
      <c r="P519" s="0" t="str">
        <f aca="false">IF(AND(OR($F519="In Progress",$F519="Pending Client Data",$F519="Under Review"),$A519&lt;&gt;""),SUMPRODUCT((($F$2:$F$600="In Progress")+($F$2:$F$600="Pending Client Data")+($F$2:$F$600="Under Review"))*($A$2:$A$600&lt;&gt;"")*((IF($G$2:$G$600="",99999999,$G$2:$G$600))&lt;IF($G519="",99999999,$G519)))+SUMPRODUCT((($F$2:$F519="In Progress")+($F$2:$F519="Pending Client Data")+($F$2:$F519="Under Review"))*($A$2:$A519&lt;&gt;"")*((IF($G$2:$G519="",99999999,$G$2:$G519))=IF($G519="",99999999,$G519))),"")</f>
        <v/>
      </c>
    </row>
    <row r="520" customFormat="false" ht="15" hidden="false" customHeight="false" outlineLevel="0" collapsed="false">
      <c r="A520" s="9"/>
      <c r="B520" s="9"/>
      <c r="C520" s="10" t="str">
        <f aca="false">IF($B520="","",IFERROR(INDEX('Client Master'!$C:$C,MATCH($B520,'Client Master'!$B:$B,0)),"Code not found"))</f>
        <v/>
      </c>
      <c r="D520" s="9"/>
      <c r="E520" s="9"/>
      <c r="F520" s="9"/>
      <c r="G520" s="11"/>
      <c r="H520" s="11"/>
      <c r="I520" s="9"/>
      <c r="J520" s="12"/>
      <c r="K520" s="11"/>
      <c r="L520" s="9"/>
      <c r="N520" s="0" t="str">
        <f aca="false">IF(AND($J520&gt;0,$K520="",$A520&lt;&gt;""),SUMPRODUCT(($J$2:$J$600&gt;0)*($K$2:$K$600="")*($A$2:$A$600&lt;&gt;"")*((IF($G$2:$G$600="",99999999,$G$2:$G$600))&lt;IF($G520="",99999999,$G520)))+SUMPRODUCT(($J$2:$J520&gt;0)*($K$2:$K520="")*($A$2:$A520&lt;&gt;"")*((IF($G$2:$G520="",99999999,$G$2:$G520))=IF($G520="",99999999,$G520))),"")</f>
        <v/>
      </c>
      <c r="O520" s="0" t="str">
        <f aca="false">IF(AND($F520="Not Started",$A520&lt;&gt;""),SUMPRODUCT(($F$2:$F$600="Not Started")*($A$2:$A$600&lt;&gt;"")*((IF($G$2:$G$600="",99999999,$G$2:$G$600))&lt;IF($G520="",99999999,$G520)))+SUMPRODUCT(($F$2:$F520="Not Started")*($A$2:$A520&lt;&gt;"")*((IF($G$2:$G520="",99999999,$G$2:$G520))=IF($G520="",99999999,$G520))),"")</f>
        <v/>
      </c>
      <c r="P520" s="0" t="str">
        <f aca="false">IF(AND(OR($F520="In Progress",$F520="Pending Client Data",$F520="Under Review"),$A520&lt;&gt;""),SUMPRODUCT((($F$2:$F$600="In Progress")+($F$2:$F$600="Pending Client Data")+($F$2:$F$600="Under Review"))*($A$2:$A$600&lt;&gt;"")*((IF($G$2:$G$600="",99999999,$G$2:$G$600))&lt;IF($G520="",99999999,$G520)))+SUMPRODUCT((($F$2:$F520="In Progress")+($F$2:$F520="Pending Client Data")+($F$2:$F520="Under Review"))*($A$2:$A520&lt;&gt;"")*((IF($G$2:$G520="",99999999,$G$2:$G520))=IF($G520="",99999999,$G520))),"")</f>
        <v/>
      </c>
    </row>
    <row r="521" customFormat="false" ht="15" hidden="false" customHeight="false" outlineLevel="0" collapsed="false">
      <c r="A521" s="9"/>
      <c r="B521" s="9"/>
      <c r="C521" s="10" t="str">
        <f aca="false">IF($B521="","",IFERROR(INDEX('Client Master'!$C:$C,MATCH($B521,'Client Master'!$B:$B,0)),"Code not found"))</f>
        <v/>
      </c>
      <c r="D521" s="9"/>
      <c r="E521" s="9"/>
      <c r="F521" s="9"/>
      <c r="G521" s="11"/>
      <c r="H521" s="11"/>
      <c r="I521" s="9"/>
      <c r="J521" s="12"/>
      <c r="K521" s="11"/>
      <c r="L521" s="9"/>
      <c r="N521" s="0" t="str">
        <f aca="false">IF(AND($J521&gt;0,$K521="",$A521&lt;&gt;""),SUMPRODUCT(($J$2:$J$600&gt;0)*($K$2:$K$600="")*($A$2:$A$600&lt;&gt;"")*((IF($G$2:$G$600="",99999999,$G$2:$G$600))&lt;IF($G521="",99999999,$G521)))+SUMPRODUCT(($J$2:$J521&gt;0)*($K$2:$K521="")*($A$2:$A521&lt;&gt;"")*((IF($G$2:$G521="",99999999,$G$2:$G521))=IF($G521="",99999999,$G521))),"")</f>
        <v/>
      </c>
      <c r="O521" s="0" t="str">
        <f aca="false">IF(AND($F521="Not Started",$A521&lt;&gt;""),SUMPRODUCT(($F$2:$F$600="Not Started")*($A$2:$A$600&lt;&gt;"")*((IF($G$2:$G$600="",99999999,$G$2:$G$600))&lt;IF($G521="",99999999,$G521)))+SUMPRODUCT(($F$2:$F521="Not Started")*($A$2:$A521&lt;&gt;"")*((IF($G$2:$G521="",99999999,$G$2:$G521))=IF($G521="",99999999,$G521))),"")</f>
        <v/>
      </c>
      <c r="P521" s="0" t="str">
        <f aca="false">IF(AND(OR($F521="In Progress",$F521="Pending Client Data",$F521="Under Review"),$A521&lt;&gt;""),SUMPRODUCT((($F$2:$F$600="In Progress")+($F$2:$F$600="Pending Client Data")+($F$2:$F$600="Under Review"))*($A$2:$A$600&lt;&gt;"")*((IF($G$2:$G$600="",99999999,$G$2:$G$600))&lt;IF($G521="",99999999,$G521)))+SUMPRODUCT((($F$2:$F521="In Progress")+($F$2:$F521="Pending Client Data")+($F$2:$F521="Under Review"))*($A$2:$A521&lt;&gt;"")*((IF($G$2:$G521="",99999999,$G$2:$G521))=IF($G521="",99999999,$G521))),"")</f>
        <v/>
      </c>
    </row>
    <row r="522" customFormat="false" ht="15" hidden="false" customHeight="false" outlineLevel="0" collapsed="false">
      <c r="A522" s="9"/>
      <c r="B522" s="9"/>
      <c r="C522" s="10" t="str">
        <f aca="false">IF($B522="","",IFERROR(INDEX('Client Master'!$C:$C,MATCH($B522,'Client Master'!$B:$B,0)),"Code not found"))</f>
        <v/>
      </c>
      <c r="D522" s="9"/>
      <c r="E522" s="9"/>
      <c r="F522" s="9"/>
      <c r="G522" s="11"/>
      <c r="H522" s="11"/>
      <c r="I522" s="9"/>
      <c r="J522" s="12"/>
      <c r="K522" s="11"/>
      <c r="L522" s="9"/>
      <c r="N522" s="0" t="str">
        <f aca="false">IF(AND($J522&gt;0,$K522="",$A522&lt;&gt;""),SUMPRODUCT(($J$2:$J$600&gt;0)*($K$2:$K$600="")*($A$2:$A$600&lt;&gt;"")*((IF($G$2:$G$600="",99999999,$G$2:$G$600))&lt;IF($G522="",99999999,$G522)))+SUMPRODUCT(($J$2:$J522&gt;0)*($K$2:$K522="")*($A$2:$A522&lt;&gt;"")*((IF($G$2:$G522="",99999999,$G$2:$G522))=IF($G522="",99999999,$G522))),"")</f>
        <v/>
      </c>
      <c r="O522" s="0" t="str">
        <f aca="false">IF(AND($F522="Not Started",$A522&lt;&gt;""),SUMPRODUCT(($F$2:$F$600="Not Started")*($A$2:$A$600&lt;&gt;"")*((IF($G$2:$G$600="",99999999,$G$2:$G$600))&lt;IF($G522="",99999999,$G522)))+SUMPRODUCT(($F$2:$F522="Not Started")*($A$2:$A522&lt;&gt;"")*((IF($G$2:$G522="",99999999,$G$2:$G522))=IF($G522="",99999999,$G522))),"")</f>
        <v/>
      </c>
      <c r="P522" s="0" t="str">
        <f aca="false">IF(AND(OR($F522="In Progress",$F522="Pending Client Data",$F522="Under Review"),$A522&lt;&gt;""),SUMPRODUCT((($F$2:$F$600="In Progress")+($F$2:$F$600="Pending Client Data")+($F$2:$F$600="Under Review"))*($A$2:$A$600&lt;&gt;"")*((IF($G$2:$G$600="",99999999,$G$2:$G$600))&lt;IF($G522="",99999999,$G522)))+SUMPRODUCT((($F$2:$F522="In Progress")+($F$2:$F522="Pending Client Data")+($F$2:$F522="Under Review"))*($A$2:$A522&lt;&gt;"")*((IF($G$2:$G522="",99999999,$G$2:$G522))=IF($G522="",99999999,$G522))),"")</f>
        <v/>
      </c>
    </row>
    <row r="523" customFormat="false" ht="15" hidden="false" customHeight="false" outlineLevel="0" collapsed="false">
      <c r="A523" s="9"/>
      <c r="B523" s="9"/>
      <c r="C523" s="10" t="str">
        <f aca="false">IF($B523="","",IFERROR(INDEX('Client Master'!$C:$C,MATCH($B523,'Client Master'!$B:$B,0)),"Code not found"))</f>
        <v/>
      </c>
      <c r="D523" s="9"/>
      <c r="E523" s="9"/>
      <c r="F523" s="9"/>
      <c r="G523" s="11"/>
      <c r="H523" s="11"/>
      <c r="I523" s="9"/>
      <c r="J523" s="12"/>
      <c r="K523" s="11"/>
      <c r="L523" s="9"/>
      <c r="N523" s="0" t="str">
        <f aca="false">IF(AND($J523&gt;0,$K523="",$A523&lt;&gt;""),SUMPRODUCT(($J$2:$J$600&gt;0)*($K$2:$K$600="")*($A$2:$A$600&lt;&gt;"")*((IF($G$2:$G$600="",99999999,$G$2:$G$600))&lt;IF($G523="",99999999,$G523)))+SUMPRODUCT(($J$2:$J523&gt;0)*($K$2:$K523="")*($A$2:$A523&lt;&gt;"")*((IF($G$2:$G523="",99999999,$G$2:$G523))=IF($G523="",99999999,$G523))),"")</f>
        <v/>
      </c>
      <c r="O523" s="0" t="str">
        <f aca="false">IF(AND($F523="Not Started",$A523&lt;&gt;""),SUMPRODUCT(($F$2:$F$600="Not Started")*($A$2:$A$600&lt;&gt;"")*((IF($G$2:$G$600="",99999999,$G$2:$G$600))&lt;IF($G523="",99999999,$G523)))+SUMPRODUCT(($F$2:$F523="Not Started")*($A$2:$A523&lt;&gt;"")*((IF($G$2:$G523="",99999999,$G$2:$G523))=IF($G523="",99999999,$G523))),"")</f>
        <v/>
      </c>
      <c r="P523" s="0" t="str">
        <f aca="false">IF(AND(OR($F523="In Progress",$F523="Pending Client Data",$F523="Under Review"),$A523&lt;&gt;""),SUMPRODUCT((($F$2:$F$600="In Progress")+($F$2:$F$600="Pending Client Data")+($F$2:$F$600="Under Review"))*($A$2:$A$600&lt;&gt;"")*((IF($G$2:$G$600="",99999999,$G$2:$G$600))&lt;IF($G523="",99999999,$G523)))+SUMPRODUCT((($F$2:$F523="In Progress")+($F$2:$F523="Pending Client Data")+($F$2:$F523="Under Review"))*($A$2:$A523&lt;&gt;"")*((IF($G$2:$G523="",99999999,$G$2:$G523))=IF($G523="",99999999,$G523))),"")</f>
        <v/>
      </c>
    </row>
    <row r="524" customFormat="false" ht="15" hidden="false" customHeight="false" outlineLevel="0" collapsed="false">
      <c r="A524" s="9"/>
      <c r="B524" s="9"/>
      <c r="C524" s="10" t="str">
        <f aca="false">IF($B524="","",IFERROR(INDEX('Client Master'!$C:$C,MATCH($B524,'Client Master'!$B:$B,0)),"Code not found"))</f>
        <v/>
      </c>
      <c r="D524" s="9"/>
      <c r="E524" s="9"/>
      <c r="F524" s="9"/>
      <c r="G524" s="11"/>
      <c r="H524" s="11"/>
      <c r="I524" s="9"/>
      <c r="J524" s="12"/>
      <c r="K524" s="11"/>
      <c r="L524" s="9"/>
      <c r="N524" s="0" t="str">
        <f aca="false">IF(AND($J524&gt;0,$K524="",$A524&lt;&gt;""),SUMPRODUCT(($J$2:$J$600&gt;0)*($K$2:$K$600="")*($A$2:$A$600&lt;&gt;"")*((IF($G$2:$G$600="",99999999,$G$2:$G$600))&lt;IF($G524="",99999999,$G524)))+SUMPRODUCT(($J$2:$J524&gt;0)*($K$2:$K524="")*($A$2:$A524&lt;&gt;"")*((IF($G$2:$G524="",99999999,$G$2:$G524))=IF($G524="",99999999,$G524))),"")</f>
        <v/>
      </c>
      <c r="O524" s="0" t="str">
        <f aca="false">IF(AND($F524="Not Started",$A524&lt;&gt;""),SUMPRODUCT(($F$2:$F$600="Not Started")*($A$2:$A$600&lt;&gt;"")*((IF($G$2:$G$600="",99999999,$G$2:$G$600))&lt;IF($G524="",99999999,$G524)))+SUMPRODUCT(($F$2:$F524="Not Started")*($A$2:$A524&lt;&gt;"")*((IF($G$2:$G524="",99999999,$G$2:$G524))=IF($G524="",99999999,$G524))),"")</f>
        <v/>
      </c>
      <c r="P524" s="0" t="str">
        <f aca="false">IF(AND(OR($F524="In Progress",$F524="Pending Client Data",$F524="Under Review"),$A524&lt;&gt;""),SUMPRODUCT((($F$2:$F$600="In Progress")+($F$2:$F$600="Pending Client Data")+($F$2:$F$600="Under Review"))*($A$2:$A$600&lt;&gt;"")*((IF($G$2:$G$600="",99999999,$G$2:$G$600))&lt;IF($G524="",99999999,$G524)))+SUMPRODUCT((($F$2:$F524="In Progress")+($F$2:$F524="Pending Client Data")+($F$2:$F524="Under Review"))*($A$2:$A524&lt;&gt;"")*((IF($G$2:$G524="",99999999,$G$2:$G524))=IF($G524="",99999999,$G524))),"")</f>
        <v/>
      </c>
    </row>
    <row r="525" customFormat="false" ht="15" hidden="false" customHeight="false" outlineLevel="0" collapsed="false">
      <c r="A525" s="9"/>
      <c r="B525" s="9"/>
      <c r="C525" s="10" t="str">
        <f aca="false">IF($B525="","",IFERROR(INDEX('Client Master'!$C:$C,MATCH($B525,'Client Master'!$B:$B,0)),"Code not found"))</f>
        <v/>
      </c>
      <c r="D525" s="9"/>
      <c r="E525" s="9"/>
      <c r="F525" s="9"/>
      <c r="G525" s="11"/>
      <c r="H525" s="11"/>
      <c r="I525" s="9"/>
      <c r="J525" s="12"/>
      <c r="K525" s="11"/>
      <c r="L525" s="9"/>
      <c r="N525" s="0" t="str">
        <f aca="false">IF(AND($J525&gt;0,$K525="",$A525&lt;&gt;""),SUMPRODUCT(($J$2:$J$600&gt;0)*($K$2:$K$600="")*($A$2:$A$600&lt;&gt;"")*((IF($G$2:$G$600="",99999999,$G$2:$G$600))&lt;IF($G525="",99999999,$G525)))+SUMPRODUCT(($J$2:$J525&gt;0)*($K$2:$K525="")*($A$2:$A525&lt;&gt;"")*((IF($G$2:$G525="",99999999,$G$2:$G525))=IF($G525="",99999999,$G525))),"")</f>
        <v/>
      </c>
      <c r="O525" s="0" t="str">
        <f aca="false">IF(AND($F525="Not Started",$A525&lt;&gt;""),SUMPRODUCT(($F$2:$F$600="Not Started")*($A$2:$A$600&lt;&gt;"")*((IF($G$2:$G$600="",99999999,$G$2:$G$600))&lt;IF($G525="",99999999,$G525)))+SUMPRODUCT(($F$2:$F525="Not Started")*($A$2:$A525&lt;&gt;"")*((IF($G$2:$G525="",99999999,$G$2:$G525))=IF($G525="",99999999,$G525))),"")</f>
        <v/>
      </c>
      <c r="P525" s="0" t="str">
        <f aca="false">IF(AND(OR($F525="In Progress",$F525="Pending Client Data",$F525="Under Review"),$A525&lt;&gt;""),SUMPRODUCT((($F$2:$F$600="In Progress")+($F$2:$F$600="Pending Client Data")+($F$2:$F$600="Under Review"))*($A$2:$A$600&lt;&gt;"")*((IF($G$2:$G$600="",99999999,$G$2:$G$600))&lt;IF($G525="",99999999,$G525)))+SUMPRODUCT((($F$2:$F525="In Progress")+($F$2:$F525="Pending Client Data")+($F$2:$F525="Under Review"))*($A$2:$A525&lt;&gt;"")*((IF($G$2:$G525="",99999999,$G$2:$G525))=IF($G525="",99999999,$G525))),"")</f>
        <v/>
      </c>
    </row>
    <row r="526" customFormat="false" ht="15" hidden="false" customHeight="false" outlineLevel="0" collapsed="false">
      <c r="A526" s="9"/>
      <c r="B526" s="9"/>
      <c r="C526" s="10" t="str">
        <f aca="false">IF($B526="","",IFERROR(INDEX('Client Master'!$C:$C,MATCH($B526,'Client Master'!$B:$B,0)),"Code not found"))</f>
        <v/>
      </c>
      <c r="D526" s="9"/>
      <c r="E526" s="9"/>
      <c r="F526" s="9"/>
      <c r="G526" s="11"/>
      <c r="H526" s="11"/>
      <c r="I526" s="9"/>
      <c r="J526" s="12"/>
      <c r="K526" s="11"/>
      <c r="L526" s="9"/>
      <c r="N526" s="0" t="str">
        <f aca="false">IF(AND($J526&gt;0,$K526="",$A526&lt;&gt;""),SUMPRODUCT(($J$2:$J$600&gt;0)*($K$2:$K$600="")*($A$2:$A$600&lt;&gt;"")*((IF($G$2:$G$600="",99999999,$G$2:$G$600))&lt;IF($G526="",99999999,$G526)))+SUMPRODUCT(($J$2:$J526&gt;0)*($K$2:$K526="")*($A$2:$A526&lt;&gt;"")*((IF($G$2:$G526="",99999999,$G$2:$G526))=IF($G526="",99999999,$G526))),"")</f>
        <v/>
      </c>
      <c r="O526" s="0" t="str">
        <f aca="false">IF(AND($F526="Not Started",$A526&lt;&gt;""),SUMPRODUCT(($F$2:$F$600="Not Started")*($A$2:$A$600&lt;&gt;"")*((IF($G$2:$G$600="",99999999,$G$2:$G$600))&lt;IF($G526="",99999999,$G526)))+SUMPRODUCT(($F$2:$F526="Not Started")*($A$2:$A526&lt;&gt;"")*((IF($G$2:$G526="",99999999,$G$2:$G526))=IF($G526="",99999999,$G526))),"")</f>
        <v/>
      </c>
      <c r="P526" s="0" t="str">
        <f aca="false">IF(AND(OR($F526="In Progress",$F526="Pending Client Data",$F526="Under Review"),$A526&lt;&gt;""),SUMPRODUCT((($F$2:$F$600="In Progress")+($F$2:$F$600="Pending Client Data")+($F$2:$F$600="Under Review"))*($A$2:$A$600&lt;&gt;"")*((IF($G$2:$G$600="",99999999,$G$2:$G$600))&lt;IF($G526="",99999999,$G526)))+SUMPRODUCT((($F$2:$F526="In Progress")+($F$2:$F526="Pending Client Data")+($F$2:$F526="Under Review"))*($A$2:$A526&lt;&gt;"")*((IF($G$2:$G526="",99999999,$G$2:$G526))=IF($G526="",99999999,$G526))),"")</f>
        <v/>
      </c>
    </row>
    <row r="527" customFormat="false" ht="15" hidden="false" customHeight="false" outlineLevel="0" collapsed="false">
      <c r="A527" s="9"/>
      <c r="B527" s="9"/>
      <c r="C527" s="10" t="str">
        <f aca="false">IF($B527="","",IFERROR(INDEX('Client Master'!$C:$C,MATCH($B527,'Client Master'!$B:$B,0)),"Code not found"))</f>
        <v/>
      </c>
      <c r="D527" s="9"/>
      <c r="E527" s="9"/>
      <c r="F527" s="9"/>
      <c r="G527" s="11"/>
      <c r="H527" s="11"/>
      <c r="I527" s="9"/>
      <c r="J527" s="12"/>
      <c r="K527" s="11"/>
      <c r="L527" s="9"/>
      <c r="N527" s="0" t="str">
        <f aca="false">IF(AND($J527&gt;0,$K527="",$A527&lt;&gt;""),SUMPRODUCT(($J$2:$J$600&gt;0)*($K$2:$K$600="")*($A$2:$A$600&lt;&gt;"")*((IF($G$2:$G$600="",99999999,$G$2:$G$600))&lt;IF($G527="",99999999,$G527)))+SUMPRODUCT(($J$2:$J527&gt;0)*($K$2:$K527="")*($A$2:$A527&lt;&gt;"")*((IF($G$2:$G527="",99999999,$G$2:$G527))=IF($G527="",99999999,$G527))),"")</f>
        <v/>
      </c>
      <c r="O527" s="0" t="str">
        <f aca="false">IF(AND($F527="Not Started",$A527&lt;&gt;""),SUMPRODUCT(($F$2:$F$600="Not Started")*($A$2:$A$600&lt;&gt;"")*((IF($G$2:$G$600="",99999999,$G$2:$G$600))&lt;IF($G527="",99999999,$G527)))+SUMPRODUCT(($F$2:$F527="Not Started")*($A$2:$A527&lt;&gt;"")*((IF($G$2:$G527="",99999999,$G$2:$G527))=IF($G527="",99999999,$G527))),"")</f>
        <v/>
      </c>
      <c r="P527" s="0" t="str">
        <f aca="false">IF(AND(OR($F527="In Progress",$F527="Pending Client Data",$F527="Under Review"),$A527&lt;&gt;""),SUMPRODUCT((($F$2:$F$600="In Progress")+($F$2:$F$600="Pending Client Data")+($F$2:$F$600="Under Review"))*($A$2:$A$600&lt;&gt;"")*((IF($G$2:$G$600="",99999999,$G$2:$G$600))&lt;IF($G527="",99999999,$G527)))+SUMPRODUCT((($F$2:$F527="In Progress")+($F$2:$F527="Pending Client Data")+($F$2:$F527="Under Review"))*($A$2:$A527&lt;&gt;"")*((IF($G$2:$G527="",99999999,$G$2:$G527))=IF($G527="",99999999,$G527))),"")</f>
        <v/>
      </c>
    </row>
    <row r="528" customFormat="false" ht="15" hidden="false" customHeight="false" outlineLevel="0" collapsed="false">
      <c r="A528" s="9"/>
      <c r="B528" s="9"/>
      <c r="C528" s="10" t="str">
        <f aca="false">IF($B528="","",IFERROR(INDEX('Client Master'!$C:$C,MATCH($B528,'Client Master'!$B:$B,0)),"Code not found"))</f>
        <v/>
      </c>
      <c r="D528" s="9"/>
      <c r="E528" s="9"/>
      <c r="F528" s="9"/>
      <c r="G528" s="11"/>
      <c r="H528" s="11"/>
      <c r="I528" s="9"/>
      <c r="J528" s="12"/>
      <c r="K528" s="11"/>
      <c r="L528" s="9"/>
      <c r="N528" s="0" t="str">
        <f aca="false">IF(AND($J528&gt;0,$K528="",$A528&lt;&gt;""),SUMPRODUCT(($J$2:$J$600&gt;0)*($K$2:$K$600="")*($A$2:$A$600&lt;&gt;"")*((IF($G$2:$G$600="",99999999,$G$2:$G$600))&lt;IF($G528="",99999999,$G528)))+SUMPRODUCT(($J$2:$J528&gt;0)*($K$2:$K528="")*($A$2:$A528&lt;&gt;"")*((IF($G$2:$G528="",99999999,$G$2:$G528))=IF($G528="",99999999,$G528))),"")</f>
        <v/>
      </c>
      <c r="O528" s="0" t="str">
        <f aca="false">IF(AND($F528="Not Started",$A528&lt;&gt;""),SUMPRODUCT(($F$2:$F$600="Not Started")*($A$2:$A$600&lt;&gt;"")*((IF($G$2:$G$600="",99999999,$G$2:$G$600))&lt;IF($G528="",99999999,$G528)))+SUMPRODUCT(($F$2:$F528="Not Started")*($A$2:$A528&lt;&gt;"")*((IF($G$2:$G528="",99999999,$G$2:$G528))=IF($G528="",99999999,$G528))),"")</f>
        <v/>
      </c>
      <c r="P528" s="0" t="str">
        <f aca="false">IF(AND(OR($F528="In Progress",$F528="Pending Client Data",$F528="Under Review"),$A528&lt;&gt;""),SUMPRODUCT((($F$2:$F$600="In Progress")+($F$2:$F$600="Pending Client Data")+($F$2:$F$600="Under Review"))*($A$2:$A$600&lt;&gt;"")*((IF($G$2:$G$600="",99999999,$G$2:$G$600))&lt;IF($G528="",99999999,$G528)))+SUMPRODUCT((($F$2:$F528="In Progress")+($F$2:$F528="Pending Client Data")+($F$2:$F528="Under Review"))*($A$2:$A528&lt;&gt;"")*((IF($G$2:$G528="",99999999,$G$2:$G528))=IF($G528="",99999999,$G528))),"")</f>
        <v/>
      </c>
    </row>
    <row r="529" customFormat="false" ht="15" hidden="false" customHeight="false" outlineLevel="0" collapsed="false">
      <c r="A529" s="9"/>
      <c r="B529" s="9"/>
      <c r="C529" s="10" t="str">
        <f aca="false">IF($B529="","",IFERROR(INDEX('Client Master'!$C:$C,MATCH($B529,'Client Master'!$B:$B,0)),"Code not found"))</f>
        <v/>
      </c>
      <c r="D529" s="9"/>
      <c r="E529" s="9"/>
      <c r="F529" s="9"/>
      <c r="G529" s="11"/>
      <c r="H529" s="11"/>
      <c r="I529" s="9"/>
      <c r="J529" s="12"/>
      <c r="K529" s="11"/>
      <c r="L529" s="9"/>
      <c r="N529" s="0" t="str">
        <f aca="false">IF(AND($J529&gt;0,$K529="",$A529&lt;&gt;""),SUMPRODUCT(($J$2:$J$600&gt;0)*($K$2:$K$600="")*($A$2:$A$600&lt;&gt;"")*((IF($G$2:$G$600="",99999999,$G$2:$G$600))&lt;IF($G529="",99999999,$G529)))+SUMPRODUCT(($J$2:$J529&gt;0)*($K$2:$K529="")*($A$2:$A529&lt;&gt;"")*((IF($G$2:$G529="",99999999,$G$2:$G529))=IF($G529="",99999999,$G529))),"")</f>
        <v/>
      </c>
      <c r="O529" s="0" t="str">
        <f aca="false">IF(AND($F529="Not Started",$A529&lt;&gt;""),SUMPRODUCT(($F$2:$F$600="Not Started")*($A$2:$A$600&lt;&gt;"")*((IF($G$2:$G$600="",99999999,$G$2:$G$600))&lt;IF($G529="",99999999,$G529)))+SUMPRODUCT(($F$2:$F529="Not Started")*($A$2:$A529&lt;&gt;"")*((IF($G$2:$G529="",99999999,$G$2:$G529))=IF($G529="",99999999,$G529))),"")</f>
        <v/>
      </c>
      <c r="P529" s="0" t="str">
        <f aca="false">IF(AND(OR($F529="In Progress",$F529="Pending Client Data",$F529="Under Review"),$A529&lt;&gt;""),SUMPRODUCT((($F$2:$F$600="In Progress")+($F$2:$F$600="Pending Client Data")+($F$2:$F$600="Under Review"))*($A$2:$A$600&lt;&gt;"")*((IF($G$2:$G$600="",99999999,$G$2:$G$600))&lt;IF($G529="",99999999,$G529)))+SUMPRODUCT((($F$2:$F529="In Progress")+($F$2:$F529="Pending Client Data")+($F$2:$F529="Under Review"))*($A$2:$A529&lt;&gt;"")*((IF($G$2:$G529="",99999999,$G$2:$G529))=IF($G529="",99999999,$G529))),"")</f>
        <v/>
      </c>
    </row>
    <row r="530" customFormat="false" ht="15" hidden="false" customHeight="false" outlineLevel="0" collapsed="false">
      <c r="A530" s="9"/>
      <c r="B530" s="9"/>
      <c r="C530" s="10" t="str">
        <f aca="false">IF($B530="","",IFERROR(INDEX('Client Master'!$C:$C,MATCH($B530,'Client Master'!$B:$B,0)),"Code not found"))</f>
        <v/>
      </c>
      <c r="D530" s="9"/>
      <c r="E530" s="9"/>
      <c r="F530" s="9"/>
      <c r="G530" s="11"/>
      <c r="H530" s="11"/>
      <c r="I530" s="9"/>
      <c r="J530" s="12"/>
      <c r="K530" s="11"/>
      <c r="L530" s="9"/>
      <c r="N530" s="0" t="str">
        <f aca="false">IF(AND($J530&gt;0,$K530="",$A530&lt;&gt;""),SUMPRODUCT(($J$2:$J$600&gt;0)*($K$2:$K$600="")*($A$2:$A$600&lt;&gt;"")*((IF($G$2:$G$600="",99999999,$G$2:$G$600))&lt;IF($G530="",99999999,$G530)))+SUMPRODUCT(($J$2:$J530&gt;0)*($K$2:$K530="")*($A$2:$A530&lt;&gt;"")*((IF($G$2:$G530="",99999999,$G$2:$G530))=IF($G530="",99999999,$G530))),"")</f>
        <v/>
      </c>
      <c r="O530" s="0" t="str">
        <f aca="false">IF(AND($F530="Not Started",$A530&lt;&gt;""),SUMPRODUCT(($F$2:$F$600="Not Started")*($A$2:$A$600&lt;&gt;"")*((IF($G$2:$G$600="",99999999,$G$2:$G$600))&lt;IF($G530="",99999999,$G530)))+SUMPRODUCT(($F$2:$F530="Not Started")*($A$2:$A530&lt;&gt;"")*((IF($G$2:$G530="",99999999,$G$2:$G530))=IF($G530="",99999999,$G530))),"")</f>
        <v/>
      </c>
      <c r="P530" s="0" t="str">
        <f aca="false">IF(AND(OR($F530="In Progress",$F530="Pending Client Data",$F530="Under Review"),$A530&lt;&gt;""),SUMPRODUCT((($F$2:$F$600="In Progress")+($F$2:$F$600="Pending Client Data")+($F$2:$F$600="Under Review"))*($A$2:$A$600&lt;&gt;"")*((IF($G$2:$G$600="",99999999,$G$2:$G$600))&lt;IF($G530="",99999999,$G530)))+SUMPRODUCT((($F$2:$F530="In Progress")+($F$2:$F530="Pending Client Data")+($F$2:$F530="Under Review"))*($A$2:$A530&lt;&gt;"")*((IF($G$2:$G530="",99999999,$G$2:$G530))=IF($G530="",99999999,$G530))),"")</f>
        <v/>
      </c>
    </row>
    <row r="531" customFormat="false" ht="15" hidden="false" customHeight="false" outlineLevel="0" collapsed="false">
      <c r="A531" s="9"/>
      <c r="B531" s="9"/>
      <c r="C531" s="10" t="str">
        <f aca="false">IF($B531="","",IFERROR(INDEX('Client Master'!$C:$C,MATCH($B531,'Client Master'!$B:$B,0)),"Code not found"))</f>
        <v/>
      </c>
      <c r="D531" s="9"/>
      <c r="E531" s="9"/>
      <c r="F531" s="9"/>
      <c r="G531" s="11"/>
      <c r="H531" s="11"/>
      <c r="I531" s="9"/>
      <c r="J531" s="12"/>
      <c r="K531" s="11"/>
      <c r="L531" s="9"/>
      <c r="N531" s="0" t="str">
        <f aca="false">IF(AND($J531&gt;0,$K531="",$A531&lt;&gt;""),SUMPRODUCT(($J$2:$J$600&gt;0)*($K$2:$K$600="")*($A$2:$A$600&lt;&gt;"")*((IF($G$2:$G$600="",99999999,$G$2:$G$600))&lt;IF($G531="",99999999,$G531)))+SUMPRODUCT(($J$2:$J531&gt;0)*($K$2:$K531="")*($A$2:$A531&lt;&gt;"")*((IF($G$2:$G531="",99999999,$G$2:$G531))=IF($G531="",99999999,$G531))),"")</f>
        <v/>
      </c>
      <c r="O531" s="0" t="str">
        <f aca="false">IF(AND($F531="Not Started",$A531&lt;&gt;""),SUMPRODUCT(($F$2:$F$600="Not Started")*($A$2:$A$600&lt;&gt;"")*((IF($G$2:$G$600="",99999999,$G$2:$G$600))&lt;IF($G531="",99999999,$G531)))+SUMPRODUCT(($F$2:$F531="Not Started")*($A$2:$A531&lt;&gt;"")*((IF($G$2:$G531="",99999999,$G$2:$G531))=IF($G531="",99999999,$G531))),"")</f>
        <v/>
      </c>
      <c r="P531" s="0" t="str">
        <f aca="false">IF(AND(OR($F531="In Progress",$F531="Pending Client Data",$F531="Under Review"),$A531&lt;&gt;""),SUMPRODUCT((($F$2:$F$600="In Progress")+($F$2:$F$600="Pending Client Data")+($F$2:$F$600="Under Review"))*($A$2:$A$600&lt;&gt;"")*((IF($G$2:$G$600="",99999999,$G$2:$G$600))&lt;IF($G531="",99999999,$G531)))+SUMPRODUCT((($F$2:$F531="In Progress")+($F$2:$F531="Pending Client Data")+($F$2:$F531="Under Review"))*($A$2:$A531&lt;&gt;"")*((IF($G$2:$G531="",99999999,$G$2:$G531))=IF($G531="",99999999,$G531))),"")</f>
        <v/>
      </c>
    </row>
    <row r="532" customFormat="false" ht="15" hidden="false" customHeight="false" outlineLevel="0" collapsed="false">
      <c r="A532" s="9"/>
      <c r="B532" s="9"/>
      <c r="C532" s="10" t="str">
        <f aca="false">IF($B532="","",IFERROR(INDEX('Client Master'!$C:$C,MATCH($B532,'Client Master'!$B:$B,0)),"Code not found"))</f>
        <v/>
      </c>
      <c r="D532" s="9"/>
      <c r="E532" s="9"/>
      <c r="F532" s="9"/>
      <c r="G532" s="11"/>
      <c r="H532" s="11"/>
      <c r="I532" s="9"/>
      <c r="J532" s="12"/>
      <c r="K532" s="11"/>
      <c r="L532" s="9"/>
      <c r="N532" s="0" t="str">
        <f aca="false">IF(AND($J532&gt;0,$K532="",$A532&lt;&gt;""),SUMPRODUCT(($J$2:$J$600&gt;0)*($K$2:$K$600="")*($A$2:$A$600&lt;&gt;"")*((IF($G$2:$G$600="",99999999,$G$2:$G$600))&lt;IF($G532="",99999999,$G532)))+SUMPRODUCT(($J$2:$J532&gt;0)*($K$2:$K532="")*($A$2:$A532&lt;&gt;"")*((IF($G$2:$G532="",99999999,$G$2:$G532))=IF($G532="",99999999,$G532))),"")</f>
        <v/>
      </c>
      <c r="O532" s="0" t="str">
        <f aca="false">IF(AND($F532="Not Started",$A532&lt;&gt;""),SUMPRODUCT(($F$2:$F$600="Not Started")*($A$2:$A$600&lt;&gt;"")*((IF($G$2:$G$600="",99999999,$G$2:$G$600))&lt;IF($G532="",99999999,$G532)))+SUMPRODUCT(($F$2:$F532="Not Started")*($A$2:$A532&lt;&gt;"")*((IF($G$2:$G532="",99999999,$G$2:$G532))=IF($G532="",99999999,$G532))),"")</f>
        <v/>
      </c>
      <c r="P532" s="0" t="str">
        <f aca="false">IF(AND(OR($F532="In Progress",$F532="Pending Client Data",$F532="Under Review"),$A532&lt;&gt;""),SUMPRODUCT((($F$2:$F$600="In Progress")+($F$2:$F$600="Pending Client Data")+($F$2:$F$600="Under Review"))*($A$2:$A$600&lt;&gt;"")*((IF($G$2:$G$600="",99999999,$G$2:$G$600))&lt;IF($G532="",99999999,$G532)))+SUMPRODUCT((($F$2:$F532="In Progress")+($F$2:$F532="Pending Client Data")+($F$2:$F532="Under Review"))*($A$2:$A532&lt;&gt;"")*((IF($G$2:$G532="",99999999,$G$2:$G532))=IF($G532="",99999999,$G532))),"")</f>
        <v/>
      </c>
    </row>
    <row r="533" customFormat="false" ht="15" hidden="false" customHeight="false" outlineLevel="0" collapsed="false">
      <c r="A533" s="9"/>
      <c r="B533" s="9"/>
      <c r="C533" s="10" t="str">
        <f aca="false">IF($B533="","",IFERROR(INDEX('Client Master'!$C:$C,MATCH($B533,'Client Master'!$B:$B,0)),"Code not found"))</f>
        <v/>
      </c>
      <c r="D533" s="9"/>
      <c r="E533" s="9"/>
      <c r="F533" s="9"/>
      <c r="G533" s="11"/>
      <c r="H533" s="11"/>
      <c r="I533" s="9"/>
      <c r="J533" s="12"/>
      <c r="K533" s="11"/>
      <c r="L533" s="9"/>
      <c r="N533" s="0" t="str">
        <f aca="false">IF(AND($J533&gt;0,$K533="",$A533&lt;&gt;""),SUMPRODUCT(($J$2:$J$600&gt;0)*($K$2:$K$600="")*($A$2:$A$600&lt;&gt;"")*((IF($G$2:$G$600="",99999999,$G$2:$G$600))&lt;IF($G533="",99999999,$G533)))+SUMPRODUCT(($J$2:$J533&gt;0)*($K$2:$K533="")*($A$2:$A533&lt;&gt;"")*((IF($G$2:$G533="",99999999,$G$2:$G533))=IF($G533="",99999999,$G533))),"")</f>
        <v/>
      </c>
      <c r="O533" s="0" t="str">
        <f aca="false">IF(AND($F533="Not Started",$A533&lt;&gt;""),SUMPRODUCT(($F$2:$F$600="Not Started")*($A$2:$A$600&lt;&gt;"")*((IF($G$2:$G$600="",99999999,$G$2:$G$600))&lt;IF($G533="",99999999,$G533)))+SUMPRODUCT(($F$2:$F533="Not Started")*($A$2:$A533&lt;&gt;"")*((IF($G$2:$G533="",99999999,$G$2:$G533))=IF($G533="",99999999,$G533))),"")</f>
        <v/>
      </c>
      <c r="P533" s="0" t="str">
        <f aca="false">IF(AND(OR($F533="In Progress",$F533="Pending Client Data",$F533="Under Review"),$A533&lt;&gt;""),SUMPRODUCT((($F$2:$F$600="In Progress")+($F$2:$F$600="Pending Client Data")+($F$2:$F$600="Under Review"))*($A$2:$A$600&lt;&gt;"")*((IF($G$2:$G$600="",99999999,$G$2:$G$600))&lt;IF($G533="",99999999,$G533)))+SUMPRODUCT((($F$2:$F533="In Progress")+($F$2:$F533="Pending Client Data")+($F$2:$F533="Under Review"))*($A$2:$A533&lt;&gt;"")*((IF($G$2:$G533="",99999999,$G$2:$G533))=IF($G533="",99999999,$G533))),"")</f>
        <v/>
      </c>
    </row>
    <row r="534" customFormat="false" ht="15" hidden="false" customHeight="false" outlineLevel="0" collapsed="false">
      <c r="A534" s="9"/>
      <c r="B534" s="9"/>
      <c r="C534" s="10" t="str">
        <f aca="false">IF($B534="","",IFERROR(INDEX('Client Master'!$C:$C,MATCH($B534,'Client Master'!$B:$B,0)),"Code not found"))</f>
        <v/>
      </c>
      <c r="D534" s="9"/>
      <c r="E534" s="9"/>
      <c r="F534" s="9"/>
      <c r="G534" s="11"/>
      <c r="H534" s="11"/>
      <c r="I534" s="9"/>
      <c r="J534" s="12"/>
      <c r="K534" s="11"/>
      <c r="L534" s="9"/>
      <c r="N534" s="0" t="str">
        <f aca="false">IF(AND($J534&gt;0,$K534="",$A534&lt;&gt;""),SUMPRODUCT(($J$2:$J$600&gt;0)*($K$2:$K$600="")*($A$2:$A$600&lt;&gt;"")*((IF($G$2:$G$600="",99999999,$G$2:$G$600))&lt;IF($G534="",99999999,$G534)))+SUMPRODUCT(($J$2:$J534&gt;0)*($K$2:$K534="")*($A$2:$A534&lt;&gt;"")*((IF($G$2:$G534="",99999999,$G$2:$G534))=IF($G534="",99999999,$G534))),"")</f>
        <v/>
      </c>
      <c r="O534" s="0" t="str">
        <f aca="false">IF(AND($F534="Not Started",$A534&lt;&gt;""),SUMPRODUCT(($F$2:$F$600="Not Started")*($A$2:$A$600&lt;&gt;"")*((IF($G$2:$G$600="",99999999,$G$2:$G$600))&lt;IF($G534="",99999999,$G534)))+SUMPRODUCT(($F$2:$F534="Not Started")*($A$2:$A534&lt;&gt;"")*((IF($G$2:$G534="",99999999,$G$2:$G534))=IF($G534="",99999999,$G534))),"")</f>
        <v/>
      </c>
      <c r="P534" s="0" t="str">
        <f aca="false">IF(AND(OR($F534="In Progress",$F534="Pending Client Data",$F534="Under Review"),$A534&lt;&gt;""),SUMPRODUCT((($F$2:$F$600="In Progress")+($F$2:$F$600="Pending Client Data")+($F$2:$F$600="Under Review"))*($A$2:$A$600&lt;&gt;"")*((IF($G$2:$G$600="",99999999,$G$2:$G$600))&lt;IF($G534="",99999999,$G534)))+SUMPRODUCT((($F$2:$F534="In Progress")+($F$2:$F534="Pending Client Data")+($F$2:$F534="Under Review"))*($A$2:$A534&lt;&gt;"")*((IF($G$2:$G534="",99999999,$G$2:$G534))=IF($G534="",99999999,$G534))),"")</f>
        <v/>
      </c>
    </row>
    <row r="535" customFormat="false" ht="15" hidden="false" customHeight="false" outlineLevel="0" collapsed="false">
      <c r="A535" s="9"/>
      <c r="B535" s="9"/>
      <c r="C535" s="10" t="str">
        <f aca="false">IF($B535="","",IFERROR(INDEX('Client Master'!$C:$C,MATCH($B535,'Client Master'!$B:$B,0)),"Code not found"))</f>
        <v/>
      </c>
      <c r="D535" s="9"/>
      <c r="E535" s="9"/>
      <c r="F535" s="9"/>
      <c r="G535" s="11"/>
      <c r="H535" s="11"/>
      <c r="I535" s="9"/>
      <c r="J535" s="12"/>
      <c r="K535" s="11"/>
      <c r="L535" s="9"/>
      <c r="N535" s="0" t="str">
        <f aca="false">IF(AND($J535&gt;0,$K535="",$A535&lt;&gt;""),SUMPRODUCT(($J$2:$J$600&gt;0)*($K$2:$K$600="")*($A$2:$A$600&lt;&gt;"")*((IF($G$2:$G$600="",99999999,$G$2:$G$600))&lt;IF($G535="",99999999,$G535)))+SUMPRODUCT(($J$2:$J535&gt;0)*($K$2:$K535="")*($A$2:$A535&lt;&gt;"")*((IF($G$2:$G535="",99999999,$G$2:$G535))=IF($G535="",99999999,$G535))),"")</f>
        <v/>
      </c>
      <c r="O535" s="0" t="str">
        <f aca="false">IF(AND($F535="Not Started",$A535&lt;&gt;""),SUMPRODUCT(($F$2:$F$600="Not Started")*($A$2:$A$600&lt;&gt;"")*((IF($G$2:$G$600="",99999999,$G$2:$G$600))&lt;IF($G535="",99999999,$G535)))+SUMPRODUCT(($F$2:$F535="Not Started")*($A$2:$A535&lt;&gt;"")*((IF($G$2:$G535="",99999999,$G$2:$G535))=IF($G535="",99999999,$G535))),"")</f>
        <v/>
      </c>
      <c r="P535" s="0" t="str">
        <f aca="false">IF(AND(OR($F535="In Progress",$F535="Pending Client Data",$F535="Under Review"),$A535&lt;&gt;""),SUMPRODUCT((($F$2:$F$600="In Progress")+($F$2:$F$600="Pending Client Data")+($F$2:$F$600="Under Review"))*($A$2:$A$600&lt;&gt;"")*((IF($G$2:$G$600="",99999999,$G$2:$G$600))&lt;IF($G535="",99999999,$G535)))+SUMPRODUCT((($F$2:$F535="In Progress")+($F$2:$F535="Pending Client Data")+($F$2:$F535="Under Review"))*($A$2:$A535&lt;&gt;"")*((IF($G$2:$G535="",99999999,$G$2:$G535))=IF($G535="",99999999,$G535))),"")</f>
        <v/>
      </c>
    </row>
    <row r="536" customFormat="false" ht="15" hidden="false" customHeight="false" outlineLevel="0" collapsed="false">
      <c r="A536" s="9"/>
      <c r="B536" s="9"/>
      <c r="C536" s="10" t="str">
        <f aca="false">IF($B536="","",IFERROR(INDEX('Client Master'!$C:$C,MATCH($B536,'Client Master'!$B:$B,0)),"Code not found"))</f>
        <v/>
      </c>
      <c r="D536" s="9"/>
      <c r="E536" s="9"/>
      <c r="F536" s="9"/>
      <c r="G536" s="11"/>
      <c r="H536" s="11"/>
      <c r="I536" s="9"/>
      <c r="J536" s="12"/>
      <c r="K536" s="11"/>
      <c r="L536" s="9"/>
      <c r="N536" s="0" t="str">
        <f aca="false">IF(AND($J536&gt;0,$K536="",$A536&lt;&gt;""),SUMPRODUCT(($J$2:$J$600&gt;0)*($K$2:$K$600="")*($A$2:$A$600&lt;&gt;"")*((IF($G$2:$G$600="",99999999,$G$2:$G$600))&lt;IF($G536="",99999999,$G536)))+SUMPRODUCT(($J$2:$J536&gt;0)*($K$2:$K536="")*($A$2:$A536&lt;&gt;"")*((IF($G$2:$G536="",99999999,$G$2:$G536))=IF($G536="",99999999,$G536))),"")</f>
        <v/>
      </c>
      <c r="O536" s="0" t="str">
        <f aca="false">IF(AND($F536="Not Started",$A536&lt;&gt;""),SUMPRODUCT(($F$2:$F$600="Not Started")*($A$2:$A$600&lt;&gt;"")*((IF($G$2:$G$600="",99999999,$G$2:$G$600))&lt;IF($G536="",99999999,$G536)))+SUMPRODUCT(($F$2:$F536="Not Started")*($A$2:$A536&lt;&gt;"")*((IF($G$2:$G536="",99999999,$G$2:$G536))=IF($G536="",99999999,$G536))),"")</f>
        <v/>
      </c>
      <c r="P536" s="0" t="str">
        <f aca="false">IF(AND(OR($F536="In Progress",$F536="Pending Client Data",$F536="Under Review"),$A536&lt;&gt;""),SUMPRODUCT((($F$2:$F$600="In Progress")+($F$2:$F$600="Pending Client Data")+($F$2:$F$600="Under Review"))*($A$2:$A$600&lt;&gt;"")*((IF($G$2:$G$600="",99999999,$G$2:$G$600))&lt;IF($G536="",99999999,$G536)))+SUMPRODUCT((($F$2:$F536="In Progress")+($F$2:$F536="Pending Client Data")+($F$2:$F536="Under Review"))*($A$2:$A536&lt;&gt;"")*((IF($G$2:$G536="",99999999,$G$2:$G536))=IF($G536="",99999999,$G536))),"")</f>
        <v/>
      </c>
    </row>
    <row r="537" customFormat="false" ht="15" hidden="false" customHeight="false" outlineLevel="0" collapsed="false">
      <c r="A537" s="9"/>
      <c r="B537" s="9"/>
      <c r="C537" s="10" t="str">
        <f aca="false">IF($B537="","",IFERROR(INDEX('Client Master'!$C:$C,MATCH($B537,'Client Master'!$B:$B,0)),"Code not found"))</f>
        <v/>
      </c>
      <c r="D537" s="9"/>
      <c r="E537" s="9"/>
      <c r="F537" s="9"/>
      <c r="G537" s="11"/>
      <c r="H537" s="11"/>
      <c r="I537" s="9"/>
      <c r="J537" s="12"/>
      <c r="K537" s="11"/>
      <c r="L537" s="9"/>
      <c r="N537" s="0" t="str">
        <f aca="false">IF(AND($J537&gt;0,$K537="",$A537&lt;&gt;""),SUMPRODUCT(($J$2:$J$600&gt;0)*($K$2:$K$600="")*($A$2:$A$600&lt;&gt;"")*((IF($G$2:$G$600="",99999999,$G$2:$G$600))&lt;IF($G537="",99999999,$G537)))+SUMPRODUCT(($J$2:$J537&gt;0)*($K$2:$K537="")*($A$2:$A537&lt;&gt;"")*((IF($G$2:$G537="",99999999,$G$2:$G537))=IF($G537="",99999999,$G537))),"")</f>
        <v/>
      </c>
      <c r="O537" s="0" t="str">
        <f aca="false">IF(AND($F537="Not Started",$A537&lt;&gt;""),SUMPRODUCT(($F$2:$F$600="Not Started")*($A$2:$A$600&lt;&gt;"")*((IF($G$2:$G$600="",99999999,$G$2:$G$600))&lt;IF($G537="",99999999,$G537)))+SUMPRODUCT(($F$2:$F537="Not Started")*($A$2:$A537&lt;&gt;"")*((IF($G$2:$G537="",99999999,$G$2:$G537))=IF($G537="",99999999,$G537))),"")</f>
        <v/>
      </c>
      <c r="P537" s="0" t="str">
        <f aca="false">IF(AND(OR($F537="In Progress",$F537="Pending Client Data",$F537="Under Review"),$A537&lt;&gt;""),SUMPRODUCT((($F$2:$F$600="In Progress")+($F$2:$F$600="Pending Client Data")+($F$2:$F$600="Under Review"))*($A$2:$A$600&lt;&gt;"")*((IF($G$2:$G$600="",99999999,$G$2:$G$600))&lt;IF($G537="",99999999,$G537)))+SUMPRODUCT((($F$2:$F537="In Progress")+($F$2:$F537="Pending Client Data")+($F$2:$F537="Under Review"))*($A$2:$A537&lt;&gt;"")*((IF($G$2:$G537="",99999999,$G$2:$G537))=IF($G537="",99999999,$G537))),"")</f>
        <v/>
      </c>
    </row>
    <row r="538" customFormat="false" ht="15" hidden="false" customHeight="false" outlineLevel="0" collapsed="false">
      <c r="A538" s="9"/>
      <c r="B538" s="9"/>
      <c r="C538" s="10" t="str">
        <f aca="false">IF($B538="","",IFERROR(INDEX('Client Master'!$C:$C,MATCH($B538,'Client Master'!$B:$B,0)),"Code not found"))</f>
        <v/>
      </c>
      <c r="D538" s="9"/>
      <c r="E538" s="9"/>
      <c r="F538" s="9"/>
      <c r="G538" s="11"/>
      <c r="H538" s="11"/>
      <c r="I538" s="9"/>
      <c r="J538" s="12"/>
      <c r="K538" s="11"/>
      <c r="L538" s="9"/>
      <c r="N538" s="0" t="str">
        <f aca="false">IF(AND($J538&gt;0,$K538="",$A538&lt;&gt;""),SUMPRODUCT(($J$2:$J$600&gt;0)*($K$2:$K$600="")*($A$2:$A$600&lt;&gt;"")*((IF($G$2:$G$600="",99999999,$G$2:$G$600))&lt;IF($G538="",99999999,$G538)))+SUMPRODUCT(($J$2:$J538&gt;0)*($K$2:$K538="")*($A$2:$A538&lt;&gt;"")*((IF($G$2:$G538="",99999999,$G$2:$G538))=IF($G538="",99999999,$G538))),"")</f>
        <v/>
      </c>
      <c r="O538" s="0" t="str">
        <f aca="false">IF(AND($F538="Not Started",$A538&lt;&gt;""),SUMPRODUCT(($F$2:$F$600="Not Started")*($A$2:$A$600&lt;&gt;"")*((IF($G$2:$G$600="",99999999,$G$2:$G$600))&lt;IF($G538="",99999999,$G538)))+SUMPRODUCT(($F$2:$F538="Not Started")*($A$2:$A538&lt;&gt;"")*((IF($G$2:$G538="",99999999,$G$2:$G538))=IF($G538="",99999999,$G538))),"")</f>
        <v/>
      </c>
      <c r="P538" s="0" t="str">
        <f aca="false">IF(AND(OR($F538="In Progress",$F538="Pending Client Data",$F538="Under Review"),$A538&lt;&gt;""),SUMPRODUCT((($F$2:$F$600="In Progress")+($F$2:$F$600="Pending Client Data")+($F$2:$F$600="Under Review"))*($A$2:$A$600&lt;&gt;"")*((IF($G$2:$G$600="",99999999,$G$2:$G$600))&lt;IF($G538="",99999999,$G538)))+SUMPRODUCT((($F$2:$F538="In Progress")+($F$2:$F538="Pending Client Data")+($F$2:$F538="Under Review"))*($A$2:$A538&lt;&gt;"")*((IF($G$2:$G538="",99999999,$G$2:$G538))=IF($G538="",99999999,$G538))),"")</f>
        <v/>
      </c>
    </row>
    <row r="539" customFormat="false" ht="15" hidden="false" customHeight="false" outlineLevel="0" collapsed="false">
      <c r="A539" s="9"/>
      <c r="B539" s="9"/>
      <c r="C539" s="10" t="str">
        <f aca="false">IF($B539="","",IFERROR(INDEX('Client Master'!$C:$C,MATCH($B539,'Client Master'!$B:$B,0)),"Code not found"))</f>
        <v/>
      </c>
      <c r="D539" s="9"/>
      <c r="E539" s="9"/>
      <c r="F539" s="9"/>
      <c r="G539" s="11"/>
      <c r="H539" s="11"/>
      <c r="I539" s="9"/>
      <c r="J539" s="12"/>
      <c r="K539" s="11"/>
      <c r="L539" s="9"/>
      <c r="N539" s="0" t="str">
        <f aca="false">IF(AND($J539&gt;0,$K539="",$A539&lt;&gt;""),SUMPRODUCT(($J$2:$J$600&gt;0)*($K$2:$K$600="")*($A$2:$A$600&lt;&gt;"")*((IF($G$2:$G$600="",99999999,$G$2:$G$600))&lt;IF($G539="",99999999,$G539)))+SUMPRODUCT(($J$2:$J539&gt;0)*($K$2:$K539="")*($A$2:$A539&lt;&gt;"")*((IF($G$2:$G539="",99999999,$G$2:$G539))=IF($G539="",99999999,$G539))),"")</f>
        <v/>
      </c>
      <c r="O539" s="0" t="str">
        <f aca="false">IF(AND($F539="Not Started",$A539&lt;&gt;""),SUMPRODUCT(($F$2:$F$600="Not Started")*($A$2:$A$600&lt;&gt;"")*((IF($G$2:$G$600="",99999999,$G$2:$G$600))&lt;IF($G539="",99999999,$G539)))+SUMPRODUCT(($F$2:$F539="Not Started")*($A$2:$A539&lt;&gt;"")*((IF($G$2:$G539="",99999999,$G$2:$G539))=IF($G539="",99999999,$G539))),"")</f>
        <v/>
      </c>
      <c r="P539" s="0" t="str">
        <f aca="false">IF(AND(OR($F539="In Progress",$F539="Pending Client Data",$F539="Under Review"),$A539&lt;&gt;""),SUMPRODUCT((($F$2:$F$600="In Progress")+($F$2:$F$600="Pending Client Data")+($F$2:$F$600="Under Review"))*($A$2:$A$600&lt;&gt;"")*((IF($G$2:$G$600="",99999999,$G$2:$G$600))&lt;IF($G539="",99999999,$G539)))+SUMPRODUCT((($F$2:$F539="In Progress")+($F$2:$F539="Pending Client Data")+($F$2:$F539="Under Review"))*($A$2:$A539&lt;&gt;"")*((IF($G$2:$G539="",99999999,$G$2:$G539))=IF($G539="",99999999,$G539))),"")</f>
        <v/>
      </c>
    </row>
    <row r="540" customFormat="false" ht="15" hidden="false" customHeight="false" outlineLevel="0" collapsed="false">
      <c r="A540" s="9"/>
      <c r="B540" s="9"/>
      <c r="C540" s="10" t="str">
        <f aca="false">IF($B540="","",IFERROR(INDEX('Client Master'!$C:$C,MATCH($B540,'Client Master'!$B:$B,0)),"Code not found"))</f>
        <v/>
      </c>
      <c r="D540" s="9"/>
      <c r="E540" s="9"/>
      <c r="F540" s="9"/>
      <c r="G540" s="11"/>
      <c r="H540" s="11"/>
      <c r="I540" s="9"/>
      <c r="J540" s="12"/>
      <c r="K540" s="11"/>
      <c r="L540" s="9"/>
      <c r="N540" s="0" t="str">
        <f aca="false">IF(AND($J540&gt;0,$K540="",$A540&lt;&gt;""),SUMPRODUCT(($J$2:$J$600&gt;0)*($K$2:$K$600="")*($A$2:$A$600&lt;&gt;"")*((IF($G$2:$G$600="",99999999,$G$2:$G$600))&lt;IF($G540="",99999999,$G540)))+SUMPRODUCT(($J$2:$J540&gt;0)*($K$2:$K540="")*($A$2:$A540&lt;&gt;"")*((IF($G$2:$G540="",99999999,$G$2:$G540))=IF($G540="",99999999,$G540))),"")</f>
        <v/>
      </c>
      <c r="O540" s="0" t="str">
        <f aca="false">IF(AND($F540="Not Started",$A540&lt;&gt;""),SUMPRODUCT(($F$2:$F$600="Not Started")*($A$2:$A$600&lt;&gt;"")*((IF($G$2:$G$600="",99999999,$G$2:$G$600))&lt;IF($G540="",99999999,$G540)))+SUMPRODUCT(($F$2:$F540="Not Started")*($A$2:$A540&lt;&gt;"")*((IF($G$2:$G540="",99999999,$G$2:$G540))=IF($G540="",99999999,$G540))),"")</f>
        <v/>
      </c>
      <c r="P540" s="0" t="str">
        <f aca="false">IF(AND(OR($F540="In Progress",$F540="Pending Client Data",$F540="Under Review"),$A540&lt;&gt;""),SUMPRODUCT((($F$2:$F$600="In Progress")+($F$2:$F$600="Pending Client Data")+($F$2:$F$600="Under Review"))*($A$2:$A$600&lt;&gt;"")*((IF($G$2:$G$600="",99999999,$G$2:$G$600))&lt;IF($G540="",99999999,$G540)))+SUMPRODUCT((($F$2:$F540="In Progress")+($F$2:$F540="Pending Client Data")+($F$2:$F540="Under Review"))*($A$2:$A540&lt;&gt;"")*((IF($G$2:$G540="",99999999,$G$2:$G540))=IF($G540="",99999999,$G540))),"")</f>
        <v/>
      </c>
    </row>
    <row r="541" customFormat="false" ht="15" hidden="false" customHeight="false" outlineLevel="0" collapsed="false">
      <c r="A541" s="9"/>
      <c r="B541" s="9"/>
      <c r="C541" s="10" t="str">
        <f aca="false">IF($B541="","",IFERROR(INDEX('Client Master'!$C:$C,MATCH($B541,'Client Master'!$B:$B,0)),"Code not found"))</f>
        <v/>
      </c>
      <c r="D541" s="9"/>
      <c r="E541" s="9"/>
      <c r="F541" s="9"/>
      <c r="G541" s="11"/>
      <c r="H541" s="11"/>
      <c r="I541" s="9"/>
      <c r="J541" s="12"/>
      <c r="K541" s="11"/>
      <c r="L541" s="9"/>
      <c r="N541" s="0" t="str">
        <f aca="false">IF(AND($J541&gt;0,$K541="",$A541&lt;&gt;""),SUMPRODUCT(($J$2:$J$600&gt;0)*($K$2:$K$600="")*($A$2:$A$600&lt;&gt;"")*((IF($G$2:$G$600="",99999999,$G$2:$G$600))&lt;IF($G541="",99999999,$G541)))+SUMPRODUCT(($J$2:$J541&gt;0)*($K$2:$K541="")*($A$2:$A541&lt;&gt;"")*((IF($G$2:$G541="",99999999,$G$2:$G541))=IF($G541="",99999999,$G541))),"")</f>
        <v/>
      </c>
      <c r="O541" s="0" t="str">
        <f aca="false">IF(AND($F541="Not Started",$A541&lt;&gt;""),SUMPRODUCT(($F$2:$F$600="Not Started")*($A$2:$A$600&lt;&gt;"")*((IF($G$2:$G$600="",99999999,$G$2:$G$600))&lt;IF($G541="",99999999,$G541)))+SUMPRODUCT(($F$2:$F541="Not Started")*($A$2:$A541&lt;&gt;"")*((IF($G$2:$G541="",99999999,$G$2:$G541))=IF($G541="",99999999,$G541))),"")</f>
        <v/>
      </c>
      <c r="P541" s="0" t="str">
        <f aca="false">IF(AND(OR($F541="In Progress",$F541="Pending Client Data",$F541="Under Review"),$A541&lt;&gt;""),SUMPRODUCT((($F$2:$F$600="In Progress")+($F$2:$F$600="Pending Client Data")+($F$2:$F$600="Under Review"))*($A$2:$A$600&lt;&gt;"")*((IF($G$2:$G$600="",99999999,$G$2:$G$600))&lt;IF($G541="",99999999,$G541)))+SUMPRODUCT((($F$2:$F541="In Progress")+($F$2:$F541="Pending Client Data")+($F$2:$F541="Under Review"))*($A$2:$A541&lt;&gt;"")*((IF($G$2:$G541="",99999999,$G$2:$G541))=IF($G541="",99999999,$G541))),"")</f>
        <v/>
      </c>
    </row>
    <row r="542" customFormat="false" ht="15" hidden="false" customHeight="false" outlineLevel="0" collapsed="false">
      <c r="A542" s="9"/>
      <c r="B542" s="9"/>
      <c r="C542" s="10" t="str">
        <f aca="false">IF($B542="","",IFERROR(INDEX('Client Master'!$C:$C,MATCH($B542,'Client Master'!$B:$B,0)),"Code not found"))</f>
        <v/>
      </c>
      <c r="D542" s="9"/>
      <c r="E542" s="9"/>
      <c r="F542" s="9"/>
      <c r="G542" s="11"/>
      <c r="H542" s="11"/>
      <c r="I542" s="9"/>
      <c r="J542" s="12"/>
      <c r="K542" s="11"/>
      <c r="L542" s="9"/>
      <c r="N542" s="0" t="str">
        <f aca="false">IF(AND($J542&gt;0,$K542="",$A542&lt;&gt;""),SUMPRODUCT(($J$2:$J$600&gt;0)*($K$2:$K$600="")*($A$2:$A$600&lt;&gt;"")*((IF($G$2:$G$600="",99999999,$G$2:$G$600))&lt;IF($G542="",99999999,$G542)))+SUMPRODUCT(($J$2:$J542&gt;0)*($K$2:$K542="")*($A$2:$A542&lt;&gt;"")*((IF($G$2:$G542="",99999999,$G$2:$G542))=IF($G542="",99999999,$G542))),"")</f>
        <v/>
      </c>
      <c r="O542" s="0" t="str">
        <f aca="false">IF(AND($F542="Not Started",$A542&lt;&gt;""),SUMPRODUCT(($F$2:$F$600="Not Started")*($A$2:$A$600&lt;&gt;"")*((IF($G$2:$G$600="",99999999,$G$2:$G$600))&lt;IF($G542="",99999999,$G542)))+SUMPRODUCT(($F$2:$F542="Not Started")*($A$2:$A542&lt;&gt;"")*((IF($G$2:$G542="",99999999,$G$2:$G542))=IF($G542="",99999999,$G542))),"")</f>
        <v/>
      </c>
      <c r="P542" s="0" t="str">
        <f aca="false">IF(AND(OR($F542="In Progress",$F542="Pending Client Data",$F542="Under Review"),$A542&lt;&gt;""),SUMPRODUCT((($F$2:$F$600="In Progress")+($F$2:$F$600="Pending Client Data")+($F$2:$F$600="Under Review"))*($A$2:$A$600&lt;&gt;"")*((IF($G$2:$G$600="",99999999,$G$2:$G$600))&lt;IF($G542="",99999999,$G542)))+SUMPRODUCT((($F$2:$F542="In Progress")+($F$2:$F542="Pending Client Data")+($F$2:$F542="Under Review"))*($A$2:$A542&lt;&gt;"")*((IF($G$2:$G542="",99999999,$G$2:$G542))=IF($G542="",99999999,$G542))),"")</f>
        <v/>
      </c>
    </row>
    <row r="543" customFormat="false" ht="15" hidden="false" customHeight="false" outlineLevel="0" collapsed="false">
      <c r="A543" s="9"/>
      <c r="B543" s="9"/>
      <c r="C543" s="10" t="str">
        <f aca="false">IF($B543="","",IFERROR(INDEX('Client Master'!$C:$C,MATCH($B543,'Client Master'!$B:$B,0)),"Code not found"))</f>
        <v/>
      </c>
      <c r="D543" s="9"/>
      <c r="E543" s="9"/>
      <c r="F543" s="9"/>
      <c r="G543" s="11"/>
      <c r="H543" s="11"/>
      <c r="I543" s="9"/>
      <c r="J543" s="12"/>
      <c r="K543" s="11"/>
      <c r="L543" s="9"/>
      <c r="N543" s="0" t="str">
        <f aca="false">IF(AND($J543&gt;0,$K543="",$A543&lt;&gt;""),SUMPRODUCT(($J$2:$J$600&gt;0)*($K$2:$K$600="")*($A$2:$A$600&lt;&gt;"")*((IF($G$2:$G$600="",99999999,$G$2:$G$600))&lt;IF($G543="",99999999,$G543)))+SUMPRODUCT(($J$2:$J543&gt;0)*($K$2:$K543="")*($A$2:$A543&lt;&gt;"")*((IF($G$2:$G543="",99999999,$G$2:$G543))=IF($G543="",99999999,$G543))),"")</f>
        <v/>
      </c>
      <c r="O543" s="0" t="str">
        <f aca="false">IF(AND($F543="Not Started",$A543&lt;&gt;""),SUMPRODUCT(($F$2:$F$600="Not Started")*($A$2:$A$600&lt;&gt;"")*((IF($G$2:$G$600="",99999999,$G$2:$G$600))&lt;IF($G543="",99999999,$G543)))+SUMPRODUCT(($F$2:$F543="Not Started")*($A$2:$A543&lt;&gt;"")*((IF($G$2:$G543="",99999999,$G$2:$G543))=IF($G543="",99999999,$G543))),"")</f>
        <v/>
      </c>
      <c r="P543" s="0" t="str">
        <f aca="false">IF(AND(OR($F543="In Progress",$F543="Pending Client Data",$F543="Under Review"),$A543&lt;&gt;""),SUMPRODUCT((($F$2:$F$600="In Progress")+($F$2:$F$600="Pending Client Data")+($F$2:$F$600="Under Review"))*($A$2:$A$600&lt;&gt;"")*((IF($G$2:$G$600="",99999999,$G$2:$G$600))&lt;IF($G543="",99999999,$G543)))+SUMPRODUCT((($F$2:$F543="In Progress")+($F$2:$F543="Pending Client Data")+($F$2:$F543="Under Review"))*($A$2:$A543&lt;&gt;"")*((IF($G$2:$G543="",99999999,$G$2:$G543))=IF($G543="",99999999,$G543))),"")</f>
        <v/>
      </c>
    </row>
    <row r="544" customFormat="false" ht="15" hidden="false" customHeight="false" outlineLevel="0" collapsed="false">
      <c r="A544" s="9"/>
      <c r="B544" s="9"/>
      <c r="C544" s="10" t="str">
        <f aca="false">IF($B544="","",IFERROR(INDEX('Client Master'!$C:$C,MATCH($B544,'Client Master'!$B:$B,0)),"Code not found"))</f>
        <v/>
      </c>
      <c r="D544" s="9"/>
      <c r="E544" s="9"/>
      <c r="F544" s="9"/>
      <c r="G544" s="11"/>
      <c r="H544" s="11"/>
      <c r="I544" s="9"/>
      <c r="J544" s="12"/>
      <c r="K544" s="11"/>
      <c r="L544" s="9"/>
      <c r="N544" s="0" t="str">
        <f aca="false">IF(AND($J544&gt;0,$K544="",$A544&lt;&gt;""),SUMPRODUCT(($J$2:$J$600&gt;0)*($K$2:$K$600="")*($A$2:$A$600&lt;&gt;"")*((IF($G$2:$G$600="",99999999,$G$2:$G$600))&lt;IF($G544="",99999999,$G544)))+SUMPRODUCT(($J$2:$J544&gt;0)*($K$2:$K544="")*($A$2:$A544&lt;&gt;"")*((IF($G$2:$G544="",99999999,$G$2:$G544))=IF($G544="",99999999,$G544))),"")</f>
        <v/>
      </c>
      <c r="O544" s="0" t="str">
        <f aca="false">IF(AND($F544="Not Started",$A544&lt;&gt;""),SUMPRODUCT(($F$2:$F$600="Not Started")*($A$2:$A$600&lt;&gt;"")*((IF($G$2:$G$600="",99999999,$G$2:$G$600))&lt;IF($G544="",99999999,$G544)))+SUMPRODUCT(($F$2:$F544="Not Started")*($A$2:$A544&lt;&gt;"")*((IF($G$2:$G544="",99999999,$G$2:$G544))=IF($G544="",99999999,$G544))),"")</f>
        <v/>
      </c>
      <c r="P544" s="0" t="str">
        <f aca="false">IF(AND(OR($F544="In Progress",$F544="Pending Client Data",$F544="Under Review"),$A544&lt;&gt;""),SUMPRODUCT((($F$2:$F$600="In Progress")+($F$2:$F$600="Pending Client Data")+($F$2:$F$600="Under Review"))*($A$2:$A$600&lt;&gt;"")*((IF($G$2:$G$600="",99999999,$G$2:$G$600))&lt;IF($G544="",99999999,$G544)))+SUMPRODUCT((($F$2:$F544="In Progress")+($F$2:$F544="Pending Client Data")+($F$2:$F544="Under Review"))*($A$2:$A544&lt;&gt;"")*((IF($G$2:$G544="",99999999,$G$2:$G544))=IF($G544="",99999999,$G544))),"")</f>
        <v/>
      </c>
    </row>
    <row r="545" customFormat="false" ht="15" hidden="false" customHeight="false" outlineLevel="0" collapsed="false">
      <c r="A545" s="9"/>
      <c r="B545" s="9"/>
      <c r="C545" s="10" t="str">
        <f aca="false">IF($B545="","",IFERROR(INDEX('Client Master'!$C:$C,MATCH($B545,'Client Master'!$B:$B,0)),"Code not found"))</f>
        <v/>
      </c>
      <c r="D545" s="9"/>
      <c r="E545" s="9"/>
      <c r="F545" s="9"/>
      <c r="G545" s="11"/>
      <c r="H545" s="11"/>
      <c r="I545" s="9"/>
      <c r="J545" s="12"/>
      <c r="K545" s="11"/>
      <c r="L545" s="9"/>
      <c r="N545" s="0" t="str">
        <f aca="false">IF(AND($J545&gt;0,$K545="",$A545&lt;&gt;""),SUMPRODUCT(($J$2:$J$600&gt;0)*($K$2:$K$600="")*($A$2:$A$600&lt;&gt;"")*((IF($G$2:$G$600="",99999999,$G$2:$G$600))&lt;IF($G545="",99999999,$G545)))+SUMPRODUCT(($J$2:$J545&gt;0)*($K$2:$K545="")*($A$2:$A545&lt;&gt;"")*((IF($G$2:$G545="",99999999,$G$2:$G545))=IF($G545="",99999999,$G545))),"")</f>
        <v/>
      </c>
      <c r="O545" s="0" t="str">
        <f aca="false">IF(AND($F545="Not Started",$A545&lt;&gt;""),SUMPRODUCT(($F$2:$F$600="Not Started")*($A$2:$A$600&lt;&gt;"")*((IF($G$2:$G$600="",99999999,$G$2:$G$600))&lt;IF($G545="",99999999,$G545)))+SUMPRODUCT(($F$2:$F545="Not Started")*($A$2:$A545&lt;&gt;"")*((IF($G$2:$G545="",99999999,$G$2:$G545))=IF($G545="",99999999,$G545))),"")</f>
        <v/>
      </c>
      <c r="P545" s="0" t="str">
        <f aca="false">IF(AND(OR($F545="In Progress",$F545="Pending Client Data",$F545="Under Review"),$A545&lt;&gt;""),SUMPRODUCT((($F$2:$F$600="In Progress")+($F$2:$F$600="Pending Client Data")+($F$2:$F$600="Under Review"))*($A$2:$A$600&lt;&gt;"")*((IF($G$2:$G$600="",99999999,$G$2:$G$600))&lt;IF($G545="",99999999,$G545)))+SUMPRODUCT((($F$2:$F545="In Progress")+($F$2:$F545="Pending Client Data")+($F$2:$F545="Under Review"))*($A$2:$A545&lt;&gt;"")*((IF($G$2:$G545="",99999999,$G$2:$G545))=IF($G545="",99999999,$G545))),"")</f>
        <v/>
      </c>
    </row>
    <row r="546" customFormat="false" ht="15" hidden="false" customHeight="false" outlineLevel="0" collapsed="false">
      <c r="A546" s="9"/>
      <c r="B546" s="9"/>
      <c r="C546" s="10" t="str">
        <f aca="false">IF($B546="","",IFERROR(INDEX('Client Master'!$C:$C,MATCH($B546,'Client Master'!$B:$B,0)),"Code not found"))</f>
        <v/>
      </c>
      <c r="D546" s="9"/>
      <c r="E546" s="9"/>
      <c r="F546" s="9"/>
      <c r="G546" s="11"/>
      <c r="H546" s="11"/>
      <c r="I546" s="9"/>
      <c r="J546" s="12"/>
      <c r="K546" s="11"/>
      <c r="L546" s="9"/>
      <c r="N546" s="0" t="str">
        <f aca="false">IF(AND($J546&gt;0,$K546="",$A546&lt;&gt;""),SUMPRODUCT(($J$2:$J$600&gt;0)*($K$2:$K$600="")*($A$2:$A$600&lt;&gt;"")*((IF($G$2:$G$600="",99999999,$G$2:$G$600))&lt;IF($G546="",99999999,$G546)))+SUMPRODUCT(($J$2:$J546&gt;0)*($K$2:$K546="")*($A$2:$A546&lt;&gt;"")*((IF($G$2:$G546="",99999999,$G$2:$G546))=IF($G546="",99999999,$G546))),"")</f>
        <v/>
      </c>
      <c r="O546" s="0" t="str">
        <f aca="false">IF(AND($F546="Not Started",$A546&lt;&gt;""),SUMPRODUCT(($F$2:$F$600="Not Started")*($A$2:$A$600&lt;&gt;"")*((IF($G$2:$G$600="",99999999,$G$2:$G$600))&lt;IF($G546="",99999999,$G546)))+SUMPRODUCT(($F$2:$F546="Not Started")*($A$2:$A546&lt;&gt;"")*((IF($G$2:$G546="",99999999,$G$2:$G546))=IF($G546="",99999999,$G546))),"")</f>
        <v/>
      </c>
      <c r="P546" s="0" t="str">
        <f aca="false">IF(AND(OR($F546="In Progress",$F546="Pending Client Data",$F546="Under Review"),$A546&lt;&gt;""),SUMPRODUCT((($F$2:$F$600="In Progress")+($F$2:$F$600="Pending Client Data")+($F$2:$F$600="Under Review"))*($A$2:$A$600&lt;&gt;"")*((IF($G$2:$G$600="",99999999,$G$2:$G$600))&lt;IF($G546="",99999999,$G546)))+SUMPRODUCT((($F$2:$F546="In Progress")+($F$2:$F546="Pending Client Data")+($F$2:$F546="Under Review"))*($A$2:$A546&lt;&gt;"")*((IF($G$2:$G546="",99999999,$G$2:$G546))=IF($G546="",99999999,$G546))),"")</f>
        <v/>
      </c>
    </row>
    <row r="547" customFormat="false" ht="15" hidden="false" customHeight="false" outlineLevel="0" collapsed="false">
      <c r="A547" s="9"/>
      <c r="B547" s="9"/>
      <c r="C547" s="10" t="str">
        <f aca="false">IF($B547="","",IFERROR(INDEX('Client Master'!$C:$C,MATCH($B547,'Client Master'!$B:$B,0)),"Code not found"))</f>
        <v/>
      </c>
      <c r="D547" s="9"/>
      <c r="E547" s="9"/>
      <c r="F547" s="9"/>
      <c r="G547" s="11"/>
      <c r="H547" s="11"/>
      <c r="I547" s="9"/>
      <c r="J547" s="12"/>
      <c r="K547" s="11"/>
      <c r="L547" s="9"/>
      <c r="N547" s="0" t="str">
        <f aca="false">IF(AND($J547&gt;0,$K547="",$A547&lt;&gt;""),SUMPRODUCT(($J$2:$J$600&gt;0)*($K$2:$K$600="")*($A$2:$A$600&lt;&gt;"")*((IF($G$2:$G$600="",99999999,$G$2:$G$600))&lt;IF($G547="",99999999,$G547)))+SUMPRODUCT(($J$2:$J547&gt;0)*($K$2:$K547="")*($A$2:$A547&lt;&gt;"")*((IF($G$2:$G547="",99999999,$G$2:$G547))=IF($G547="",99999999,$G547))),"")</f>
        <v/>
      </c>
      <c r="O547" s="0" t="str">
        <f aca="false">IF(AND($F547="Not Started",$A547&lt;&gt;""),SUMPRODUCT(($F$2:$F$600="Not Started")*($A$2:$A$600&lt;&gt;"")*((IF($G$2:$G$600="",99999999,$G$2:$G$600))&lt;IF($G547="",99999999,$G547)))+SUMPRODUCT(($F$2:$F547="Not Started")*($A$2:$A547&lt;&gt;"")*((IF($G$2:$G547="",99999999,$G$2:$G547))=IF($G547="",99999999,$G547))),"")</f>
        <v/>
      </c>
      <c r="P547" s="0" t="str">
        <f aca="false">IF(AND(OR($F547="In Progress",$F547="Pending Client Data",$F547="Under Review"),$A547&lt;&gt;""),SUMPRODUCT((($F$2:$F$600="In Progress")+($F$2:$F$600="Pending Client Data")+($F$2:$F$600="Under Review"))*($A$2:$A$600&lt;&gt;"")*((IF($G$2:$G$600="",99999999,$G$2:$G$600))&lt;IF($G547="",99999999,$G547)))+SUMPRODUCT((($F$2:$F547="In Progress")+($F$2:$F547="Pending Client Data")+($F$2:$F547="Under Review"))*($A$2:$A547&lt;&gt;"")*((IF($G$2:$G547="",99999999,$G$2:$G547))=IF($G547="",99999999,$G547))),"")</f>
        <v/>
      </c>
    </row>
    <row r="548" customFormat="false" ht="15" hidden="false" customHeight="false" outlineLevel="0" collapsed="false">
      <c r="A548" s="9"/>
      <c r="B548" s="9"/>
      <c r="C548" s="10" t="str">
        <f aca="false">IF($B548="","",IFERROR(INDEX('Client Master'!$C:$C,MATCH($B548,'Client Master'!$B:$B,0)),"Code not found"))</f>
        <v/>
      </c>
      <c r="D548" s="9"/>
      <c r="E548" s="9"/>
      <c r="F548" s="9"/>
      <c r="G548" s="11"/>
      <c r="H548" s="11"/>
      <c r="I548" s="9"/>
      <c r="J548" s="12"/>
      <c r="K548" s="11"/>
      <c r="L548" s="9"/>
      <c r="N548" s="0" t="str">
        <f aca="false">IF(AND($J548&gt;0,$K548="",$A548&lt;&gt;""),SUMPRODUCT(($J$2:$J$600&gt;0)*($K$2:$K$600="")*($A$2:$A$600&lt;&gt;"")*((IF($G$2:$G$600="",99999999,$G$2:$G$600))&lt;IF($G548="",99999999,$G548)))+SUMPRODUCT(($J$2:$J548&gt;0)*($K$2:$K548="")*($A$2:$A548&lt;&gt;"")*((IF($G$2:$G548="",99999999,$G$2:$G548))=IF($G548="",99999999,$G548))),"")</f>
        <v/>
      </c>
      <c r="O548" s="0" t="str">
        <f aca="false">IF(AND($F548="Not Started",$A548&lt;&gt;""),SUMPRODUCT(($F$2:$F$600="Not Started")*($A$2:$A$600&lt;&gt;"")*((IF($G$2:$G$600="",99999999,$G$2:$G$600))&lt;IF($G548="",99999999,$G548)))+SUMPRODUCT(($F$2:$F548="Not Started")*($A$2:$A548&lt;&gt;"")*((IF($G$2:$G548="",99999999,$G$2:$G548))=IF($G548="",99999999,$G548))),"")</f>
        <v/>
      </c>
      <c r="P548" s="0" t="str">
        <f aca="false">IF(AND(OR($F548="In Progress",$F548="Pending Client Data",$F548="Under Review"),$A548&lt;&gt;""),SUMPRODUCT((($F$2:$F$600="In Progress")+($F$2:$F$600="Pending Client Data")+($F$2:$F$600="Under Review"))*($A$2:$A$600&lt;&gt;"")*((IF($G$2:$G$600="",99999999,$G$2:$G$600))&lt;IF($G548="",99999999,$G548)))+SUMPRODUCT((($F$2:$F548="In Progress")+($F$2:$F548="Pending Client Data")+($F$2:$F548="Under Review"))*($A$2:$A548&lt;&gt;"")*((IF($G$2:$G548="",99999999,$G$2:$G548))=IF($G548="",99999999,$G548))),"")</f>
        <v/>
      </c>
    </row>
    <row r="549" customFormat="false" ht="15" hidden="false" customHeight="false" outlineLevel="0" collapsed="false">
      <c r="A549" s="9"/>
      <c r="B549" s="9"/>
      <c r="C549" s="10" t="str">
        <f aca="false">IF($B549="","",IFERROR(INDEX('Client Master'!$C:$C,MATCH($B549,'Client Master'!$B:$B,0)),"Code not found"))</f>
        <v/>
      </c>
      <c r="D549" s="9"/>
      <c r="E549" s="9"/>
      <c r="F549" s="9"/>
      <c r="G549" s="11"/>
      <c r="H549" s="11"/>
      <c r="I549" s="9"/>
      <c r="J549" s="12"/>
      <c r="K549" s="11"/>
      <c r="L549" s="9"/>
      <c r="N549" s="0" t="str">
        <f aca="false">IF(AND($J549&gt;0,$K549="",$A549&lt;&gt;""),SUMPRODUCT(($J$2:$J$600&gt;0)*($K$2:$K$600="")*($A$2:$A$600&lt;&gt;"")*((IF($G$2:$G$600="",99999999,$G$2:$G$600))&lt;IF($G549="",99999999,$G549)))+SUMPRODUCT(($J$2:$J549&gt;0)*($K$2:$K549="")*($A$2:$A549&lt;&gt;"")*((IF($G$2:$G549="",99999999,$G$2:$G549))=IF($G549="",99999999,$G549))),"")</f>
        <v/>
      </c>
      <c r="O549" s="0" t="str">
        <f aca="false">IF(AND($F549="Not Started",$A549&lt;&gt;""),SUMPRODUCT(($F$2:$F$600="Not Started")*($A$2:$A$600&lt;&gt;"")*((IF($G$2:$G$600="",99999999,$G$2:$G$600))&lt;IF($G549="",99999999,$G549)))+SUMPRODUCT(($F$2:$F549="Not Started")*($A$2:$A549&lt;&gt;"")*((IF($G$2:$G549="",99999999,$G$2:$G549))=IF($G549="",99999999,$G549))),"")</f>
        <v/>
      </c>
      <c r="P549" s="0" t="str">
        <f aca="false">IF(AND(OR($F549="In Progress",$F549="Pending Client Data",$F549="Under Review"),$A549&lt;&gt;""),SUMPRODUCT((($F$2:$F$600="In Progress")+($F$2:$F$600="Pending Client Data")+($F$2:$F$600="Under Review"))*($A$2:$A$600&lt;&gt;"")*((IF($G$2:$G$600="",99999999,$G$2:$G$600))&lt;IF($G549="",99999999,$G549)))+SUMPRODUCT((($F$2:$F549="In Progress")+($F$2:$F549="Pending Client Data")+($F$2:$F549="Under Review"))*($A$2:$A549&lt;&gt;"")*((IF($G$2:$G549="",99999999,$G$2:$G549))=IF($G549="",99999999,$G549))),"")</f>
        <v/>
      </c>
    </row>
    <row r="550" customFormat="false" ht="15" hidden="false" customHeight="false" outlineLevel="0" collapsed="false">
      <c r="A550" s="9"/>
      <c r="B550" s="9"/>
      <c r="C550" s="10" t="str">
        <f aca="false">IF($B550="","",IFERROR(INDEX('Client Master'!$C:$C,MATCH($B550,'Client Master'!$B:$B,0)),"Code not found"))</f>
        <v/>
      </c>
      <c r="D550" s="9"/>
      <c r="E550" s="9"/>
      <c r="F550" s="9"/>
      <c r="G550" s="11"/>
      <c r="H550" s="11"/>
      <c r="I550" s="9"/>
      <c r="J550" s="12"/>
      <c r="K550" s="11"/>
      <c r="L550" s="9"/>
      <c r="N550" s="0" t="str">
        <f aca="false">IF(AND($J550&gt;0,$K550="",$A550&lt;&gt;""),SUMPRODUCT(($J$2:$J$600&gt;0)*($K$2:$K$600="")*($A$2:$A$600&lt;&gt;"")*((IF($G$2:$G$600="",99999999,$G$2:$G$600))&lt;IF($G550="",99999999,$G550)))+SUMPRODUCT(($J$2:$J550&gt;0)*($K$2:$K550="")*($A$2:$A550&lt;&gt;"")*((IF($G$2:$G550="",99999999,$G$2:$G550))=IF($G550="",99999999,$G550))),"")</f>
        <v/>
      </c>
      <c r="O550" s="0" t="str">
        <f aca="false">IF(AND($F550="Not Started",$A550&lt;&gt;""),SUMPRODUCT(($F$2:$F$600="Not Started")*($A$2:$A$600&lt;&gt;"")*((IF($G$2:$G$600="",99999999,$G$2:$G$600))&lt;IF($G550="",99999999,$G550)))+SUMPRODUCT(($F$2:$F550="Not Started")*($A$2:$A550&lt;&gt;"")*((IF($G$2:$G550="",99999999,$G$2:$G550))=IF($G550="",99999999,$G550))),"")</f>
        <v/>
      </c>
      <c r="P550" s="0" t="str">
        <f aca="false">IF(AND(OR($F550="In Progress",$F550="Pending Client Data",$F550="Under Review"),$A550&lt;&gt;""),SUMPRODUCT((($F$2:$F$600="In Progress")+($F$2:$F$600="Pending Client Data")+($F$2:$F$600="Under Review"))*($A$2:$A$600&lt;&gt;"")*((IF($G$2:$G$600="",99999999,$G$2:$G$600))&lt;IF($G550="",99999999,$G550)))+SUMPRODUCT((($F$2:$F550="In Progress")+($F$2:$F550="Pending Client Data")+($F$2:$F550="Under Review"))*($A$2:$A550&lt;&gt;"")*((IF($G$2:$G550="",99999999,$G$2:$G550))=IF($G550="",99999999,$G550))),"")</f>
        <v/>
      </c>
    </row>
    <row r="551" customFormat="false" ht="15" hidden="false" customHeight="false" outlineLevel="0" collapsed="false">
      <c r="A551" s="9"/>
      <c r="B551" s="9"/>
      <c r="C551" s="10" t="str">
        <f aca="false">IF($B551="","",IFERROR(INDEX('Client Master'!$C:$C,MATCH($B551,'Client Master'!$B:$B,0)),"Code not found"))</f>
        <v/>
      </c>
      <c r="D551" s="9"/>
      <c r="E551" s="9"/>
      <c r="F551" s="9"/>
      <c r="G551" s="11"/>
      <c r="H551" s="11"/>
      <c r="I551" s="9"/>
      <c r="J551" s="12"/>
      <c r="K551" s="11"/>
      <c r="L551" s="9"/>
      <c r="N551" s="0" t="str">
        <f aca="false">IF(AND($J551&gt;0,$K551="",$A551&lt;&gt;""),SUMPRODUCT(($J$2:$J$600&gt;0)*($K$2:$K$600="")*($A$2:$A$600&lt;&gt;"")*((IF($G$2:$G$600="",99999999,$G$2:$G$600))&lt;IF($G551="",99999999,$G551)))+SUMPRODUCT(($J$2:$J551&gt;0)*($K$2:$K551="")*($A$2:$A551&lt;&gt;"")*((IF($G$2:$G551="",99999999,$G$2:$G551))=IF($G551="",99999999,$G551))),"")</f>
        <v/>
      </c>
      <c r="O551" s="0" t="str">
        <f aca="false">IF(AND($F551="Not Started",$A551&lt;&gt;""),SUMPRODUCT(($F$2:$F$600="Not Started")*($A$2:$A$600&lt;&gt;"")*((IF($G$2:$G$600="",99999999,$G$2:$G$600))&lt;IF($G551="",99999999,$G551)))+SUMPRODUCT(($F$2:$F551="Not Started")*($A$2:$A551&lt;&gt;"")*((IF($G$2:$G551="",99999999,$G$2:$G551))=IF($G551="",99999999,$G551))),"")</f>
        <v/>
      </c>
      <c r="P551" s="0" t="str">
        <f aca="false">IF(AND(OR($F551="In Progress",$F551="Pending Client Data",$F551="Under Review"),$A551&lt;&gt;""),SUMPRODUCT((($F$2:$F$600="In Progress")+($F$2:$F$600="Pending Client Data")+($F$2:$F$600="Under Review"))*($A$2:$A$600&lt;&gt;"")*((IF($G$2:$G$600="",99999999,$G$2:$G$600))&lt;IF($G551="",99999999,$G551)))+SUMPRODUCT((($F$2:$F551="In Progress")+($F$2:$F551="Pending Client Data")+($F$2:$F551="Under Review"))*($A$2:$A551&lt;&gt;"")*((IF($G$2:$G551="",99999999,$G$2:$G551))=IF($G551="",99999999,$G551))),"")</f>
        <v/>
      </c>
    </row>
    <row r="552" customFormat="false" ht="15" hidden="false" customHeight="false" outlineLevel="0" collapsed="false">
      <c r="A552" s="9"/>
      <c r="B552" s="9"/>
      <c r="C552" s="10" t="str">
        <f aca="false">IF($B552="","",IFERROR(INDEX('Client Master'!$C:$C,MATCH($B552,'Client Master'!$B:$B,0)),"Code not found"))</f>
        <v/>
      </c>
      <c r="D552" s="9"/>
      <c r="E552" s="9"/>
      <c r="F552" s="9"/>
      <c r="G552" s="11"/>
      <c r="H552" s="11"/>
      <c r="I552" s="9"/>
      <c r="J552" s="12"/>
      <c r="K552" s="11"/>
      <c r="L552" s="9"/>
      <c r="N552" s="0" t="str">
        <f aca="false">IF(AND($J552&gt;0,$K552="",$A552&lt;&gt;""),SUMPRODUCT(($J$2:$J$600&gt;0)*($K$2:$K$600="")*($A$2:$A$600&lt;&gt;"")*((IF($G$2:$G$600="",99999999,$G$2:$G$600))&lt;IF($G552="",99999999,$G552)))+SUMPRODUCT(($J$2:$J552&gt;0)*($K$2:$K552="")*($A$2:$A552&lt;&gt;"")*((IF($G$2:$G552="",99999999,$G$2:$G552))=IF($G552="",99999999,$G552))),"")</f>
        <v/>
      </c>
      <c r="O552" s="0" t="str">
        <f aca="false">IF(AND($F552="Not Started",$A552&lt;&gt;""),SUMPRODUCT(($F$2:$F$600="Not Started")*($A$2:$A$600&lt;&gt;"")*((IF($G$2:$G$600="",99999999,$G$2:$G$600))&lt;IF($G552="",99999999,$G552)))+SUMPRODUCT(($F$2:$F552="Not Started")*($A$2:$A552&lt;&gt;"")*((IF($G$2:$G552="",99999999,$G$2:$G552))=IF($G552="",99999999,$G552))),"")</f>
        <v/>
      </c>
      <c r="P552" s="0" t="str">
        <f aca="false">IF(AND(OR($F552="In Progress",$F552="Pending Client Data",$F552="Under Review"),$A552&lt;&gt;""),SUMPRODUCT((($F$2:$F$600="In Progress")+($F$2:$F$600="Pending Client Data")+($F$2:$F$600="Under Review"))*($A$2:$A$600&lt;&gt;"")*((IF($G$2:$G$600="",99999999,$G$2:$G$600))&lt;IF($G552="",99999999,$G552)))+SUMPRODUCT((($F$2:$F552="In Progress")+($F$2:$F552="Pending Client Data")+($F$2:$F552="Under Review"))*($A$2:$A552&lt;&gt;"")*((IF($G$2:$G552="",99999999,$G$2:$G552))=IF($G552="",99999999,$G552))),"")</f>
        <v/>
      </c>
    </row>
    <row r="553" customFormat="false" ht="15" hidden="false" customHeight="false" outlineLevel="0" collapsed="false">
      <c r="A553" s="9"/>
      <c r="B553" s="9"/>
      <c r="C553" s="10" t="str">
        <f aca="false">IF($B553="","",IFERROR(INDEX('Client Master'!$C:$C,MATCH($B553,'Client Master'!$B:$B,0)),"Code not found"))</f>
        <v/>
      </c>
      <c r="D553" s="9"/>
      <c r="E553" s="9"/>
      <c r="F553" s="9"/>
      <c r="G553" s="11"/>
      <c r="H553" s="11"/>
      <c r="I553" s="9"/>
      <c r="J553" s="12"/>
      <c r="K553" s="11"/>
      <c r="L553" s="9"/>
      <c r="N553" s="0" t="str">
        <f aca="false">IF(AND($J553&gt;0,$K553="",$A553&lt;&gt;""),SUMPRODUCT(($J$2:$J$600&gt;0)*($K$2:$K$600="")*($A$2:$A$600&lt;&gt;"")*((IF($G$2:$G$600="",99999999,$G$2:$G$600))&lt;IF($G553="",99999999,$G553)))+SUMPRODUCT(($J$2:$J553&gt;0)*($K$2:$K553="")*($A$2:$A553&lt;&gt;"")*((IF($G$2:$G553="",99999999,$G$2:$G553))=IF($G553="",99999999,$G553))),"")</f>
        <v/>
      </c>
      <c r="O553" s="0" t="str">
        <f aca="false">IF(AND($F553="Not Started",$A553&lt;&gt;""),SUMPRODUCT(($F$2:$F$600="Not Started")*($A$2:$A$600&lt;&gt;"")*((IF($G$2:$G$600="",99999999,$G$2:$G$600))&lt;IF($G553="",99999999,$G553)))+SUMPRODUCT(($F$2:$F553="Not Started")*($A$2:$A553&lt;&gt;"")*((IF($G$2:$G553="",99999999,$G$2:$G553))=IF($G553="",99999999,$G553))),"")</f>
        <v/>
      </c>
      <c r="P553" s="0" t="str">
        <f aca="false">IF(AND(OR($F553="In Progress",$F553="Pending Client Data",$F553="Under Review"),$A553&lt;&gt;""),SUMPRODUCT((($F$2:$F$600="In Progress")+($F$2:$F$600="Pending Client Data")+($F$2:$F$600="Under Review"))*($A$2:$A$600&lt;&gt;"")*((IF($G$2:$G$600="",99999999,$G$2:$G$600))&lt;IF($G553="",99999999,$G553)))+SUMPRODUCT((($F$2:$F553="In Progress")+($F$2:$F553="Pending Client Data")+($F$2:$F553="Under Review"))*($A$2:$A553&lt;&gt;"")*((IF($G$2:$G553="",99999999,$G$2:$G553))=IF($G553="",99999999,$G553))),"")</f>
        <v/>
      </c>
    </row>
    <row r="554" customFormat="false" ht="15" hidden="false" customHeight="false" outlineLevel="0" collapsed="false">
      <c r="A554" s="9"/>
      <c r="B554" s="9"/>
      <c r="C554" s="10" t="str">
        <f aca="false">IF($B554="","",IFERROR(INDEX('Client Master'!$C:$C,MATCH($B554,'Client Master'!$B:$B,0)),"Code not found"))</f>
        <v/>
      </c>
      <c r="D554" s="9"/>
      <c r="E554" s="9"/>
      <c r="F554" s="9"/>
      <c r="G554" s="11"/>
      <c r="H554" s="11"/>
      <c r="I554" s="9"/>
      <c r="J554" s="12"/>
      <c r="K554" s="11"/>
      <c r="L554" s="9"/>
      <c r="N554" s="0" t="str">
        <f aca="false">IF(AND($J554&gt;0,$K554="",$A554&lt;&gt;""),SUMPRODUCT(($J$2:$J$600&gt;0)*($K$2:$K$600="")*($A$2:$A$600&lt;&gt;"")*((IF($G$2:$G$600="",99999999,$G$2:$G$600))&lt;IF($G554="",99999999,$G554)))+SUMPRODUCT(($J$2:$J554&gt;0)*($K$2:$K554="")*($A$2:$A554&lt;&gt;"")*((IF($G$2:$G554="",99999999,$G$2:$G554))=IF($G554="",99999999,$G554))),"")</f>
        <v/>
      </c>
      <c r="O554" s="0" t="str">
        <f aca="false">IF(AND($F554="Not Started",$A554&lt;&gt;""),SUMPRODUCT(($F$2:$F$600="Not Started")*($A$2:$A$600&lt;&gt;"")*((IF($G$2:$G$600="",99999999,$G$2:$G$600))&lt;IF($G554="",99999999,$G554)))+SUMPRODUCT(($F$2:$F554="Not Started")*($A$2:$A554&lt;&gt;"")*((IF($G$2:$G554="",99999999,$G$2:$G554))=IF($G554="",99999999,$G554))),"")</f>
        <v/>
      </c>
      <c r="P554" s="0" t="str">
        <f aca="false">IF(AND(OR($F554="In Progress",$F554="Pending Client Data",$F554="Under Review"),$A554&lt;&gt;""),SUMPRODUCT((($F$2:$F$600="In Progress")+($F$2:$F$600="Pending Client Data")+($F$2:$F$600="Under Review"))*($A$2:$A$600&lt;&gt;"")*((IF($G$2:$G$600="",99999999,$G$2:$G$600))&lt;IF($G554="",99999999,$G554)))+SUMPRODUCT((($F$2:$F554="In Progress")+($F$2:$F554="Pending Client Data")+($F$2:$F554="Under Review"))*($A$2:$A554&lt;&gt;"")*((IF($G$2:$G554="",99999999,$G$2:$G554))=IF($G554="",99999999,$G554))),"")</f>
        <v/>
      </c>
    </row>
    <row r="555" customFormat="false" ht="15" hidden="false" customHeight="false" outlineLevel="0" collapsed="false">
      <c r="A555" s="9"/>
      <c r="B555" s="9"/>
      <c r="C555" s="10" t="str">
        <f aca="false">IF($B555="","",IFERROR(INDEX('Client Master'!$C:$C,MATCH($B555,'Client Master'!$B:$B,0)),"Code not found"))</f>
        <v/>
      </c>
      <c r="D555" s="9"/>
      <c r="E555" s="9"/>
      <c r="F555" s="9"/>
      <c r="G555" s="11"/>
      <c r="H555" s="11"/>
      <c r="I555" s="9"/>
      <c r="J555" s="12"/>
      <c r="K555" s="11"/>
      <c r="L555" s="9"/>
      <c r="N555" s="0" t="str">
        <f aca="false">IF(AND($J555&gt;0,$K555="",$A555&lt;&gt;""),SUMPRODUCT(($J$2:$J$600&gt;0)*($K$2:$K$600="")*($A$2:$A$600&lt;&gt;"")*((IF($G$2:$G$600="",99999999,$G$2:$G$600))&lt;IF($G555="",99999999,$G555)))+SUMPRODUCT(($J$2:$J555&gt;0)*($K$2:$K555="")*($A$2:$A555&lt;&gt;"")*((IF($G$2:$G555="",99999999,$G$2:$G555))=IF($G555="",99999999,$G555))),"")</f>
        <v/>
      </c>
      <c r="O555" s="0" t="str">
        <f aca="false">IF(AND($F555="Not Started",$A555&lt;&gt;""),SUMPRODUCT(($F$2:$F$600="Not Started")*($A$2:$A$600&lt;&gt;"")*((IF($G$2:$G$600="",99999999,$G$2:$G$600))&lt;IF($G555="",99999999,$G555)))+SUMPRODUCT(($F$2:$F555="Not Started")*($A$2:$A555&lt;&gt;"")*((IF($G$2:$G555="",99999999,$G$2:$G555))=IF($G555="",99999999,$G555))),"")</f>
        <v/>
      </c>
      <c r="P555" s="0" t="str">
        <f aca="false">IF(AND(OR($F555="In Progress",$F555="Pending Client Data",$F555="Under Review"),$A555&lt;&gt;""),SUMPRODUCT((($F$2:$F$600="In Progress")+($F$2:$F$600="Pending Client Data")+($F$2:$F$600="Under Review"))*($A$2:$A$600&lt;&gt;"")*((IF($G$2:$G$600="",99999999,$G$2:$G$600))&lt;IF($G555="",99999999,$G555)))+SUMPRODUCT((($F$2:$F555="In Progress")+($F$2:$F555="Pending Client Data")+($F$2:$F555="Under Review"))*($A$2:$A555&lt;&gt;"")*((IF($G$2:$G555="",99999999,$G$2:$G555))=IF($G555="",99999999,$G555))),"")</f>
        <v/>
      </c>
    </row>
    <row r="556" customFormat="false" ht="15" hidden="false" customHeight="false" outlineLevel="0" collapsed="false">
      <c r="A556" s="9"/>
      <c r="B556" s="9"/>
      <c r="C556" s="10" t="str">
        <f aca="false">IF($B556="","",IFERROR(INDEX('Client Master'!$C:$C,MATCH($B556,'Client Master'!$B:$B,0)),"Code not found"))</f>
        <v/>
      </c>
      <c r="D556" s="9"/>
      <c r="E556" s="9"/>
      <c r="F556" s="9"/>
      <c r="G556" s="11"/>
      <c r="H556" s="11"/>
      <c r="I556" s="9"/>
      <c r="J556" s="12"/>
      <c r="K556" s="11"/>
      <c r="L556" s="9"/>
      <c r="N556" s="0" t="str">
        <f aca="false">IF(AND($J556&gt;0,$K556="",$A556&lt;&gt;""),SUMPRODUCT(($J$2:$J$600&gt;0)*($K$2:$K$600="")*($A$2:$A$600&lt;&gt;"")*((IF($G$2:$G$600="",99999999,$G$2:$G$600))&lt;IF($G556="",99999999,$G556)))+SUMPRODUCT(($J$2:$J556&gt;0)*($K$2:$K556="")*($A$2:$A556&lt;&gt;"")*((IF($G$2:$G556="",99999999,$G$2:$G556))=IF($G556="",99999999,$G556))),"")</f>
        <v/>
      </c>
      <c r="O556" s="0" t="str">
        <f aca="false">IF(AND($F556="Not Started",$A556&lt;&gt;""),SUMPRODUCT(($F$2:$F$600="Not Started")*($A$2:$A$600&lt;&gt;"")*((IF($G$2:$G$600="",99999999,$G$2:$G$600))&lt;IF($G556="",99999999,$G556)))+SUMPRODUCT(($F$2:$F556="Not Started")*($A$2:$A556&lt;&gt;"")*((IF($G$2:$G556="",99999999,$G$2:$G556))=IF($G556="",99999999,$G556))),"")</f>
        <v/>
      </c>
      <c r="P556" s="0" t="str">
        <f aca="false">IF(AND(OR($F556="In Progress",$F556="Pending Client Data",$F556="Under Review"),$A556&lt;&gt;""),SUMPRODUCT((($F$2:$F$600="In Progress")+($F$2:$F$600="Pending Client Data")+($F$2:$F$600="Under Review"))*($A$2:$A$600&lt;&gt;"")*((IF($G$2:$G$600="",99999999,$G$2:$G$600))&lt;IF($G556="",99999999,$G556)))+SUMPRODUCT((($F$2:$F556="In Progress")+($F$2:$F556="Pending Client Data")+($F$2:$F556="Under Review"))*($A$2:$A556&lt;&gt;"")*((IF($G$2:$G556="",99999999,$G$2:$G556))=IF($G556="",99999999,$G556))),"")</f>
        <v/>
      </c>
    </row>
    <row r="557" customFormat="false" ht="15" hidden="false" customHeight="false" outlineLevel="0" collapsed="false">
      <c r="A557" s="9"/>
      <c r="B557" s="9"/>
      <c r="C557" s="10" t="str">
        <f aca="false">IF($B557="","",IFERROR(INDEX('Client Master'!$C:$C,MATCH($B557,'Client Master'!$B:$B,0)),"Code not found"))</f>
        <v/>
      </c>
      <c r="D557" s="9"/>
      <c r="E557" s="9"/>
      <c r="F557" s="9"/>
      <c r="G557" s="11"/>
      <c r="H557" s="11"/>
      <c r="I557" s="9"/>
      <c r="J557" s="12"/>
      <c r="K557" s="11"/>
      <c r="L557" s="9"/>
      <c r="N557" s="0" t="str">
        <f aca="false">IF(AND($J557&gt;0,$K557="",$A557&lt;&gt;""),SUMPRODUCT(($J$2:$J$600&gt;0)*($K$2:$K$600="")*($A$2:$A$600&lt;&gt;"")*((IF($G$2:$G$600="",99999999,$G$2:$G$600))&lt;IF($G557="",99999999,$G557)))+SUMPRODUCT(($J$2:$J557&gt;0)*($K$2:$K557="")*($A$2:$A557&lt;&gt;"")*((IF($G$2:$G557="",99999999,$G$2:$G557))=IF($G557="",99999999,$G557))),"")</f>
        <v/>
      </c>
      <c r="O557" s="0" t="str">
        <f aca="false">IF(AND($F557="Not Started",$A557&lt;&gt;""),SUMPRODUCT(($F$2:$F$600="Not Started")*($A$2:$A$600&lt;&gt;"")*((IF($G$2:$G$600="",99999999,$G$2:$G$600))&lt;IF($G557="",99999999,$G557)))+SUMPRODUCT(($F$2:$F557="Not Started")*($A$2:$A557&lt;&gt;"")*((IF($G$2:$G557="",99999999,$G$2:$G557))=IF($G557="",99999999,$G557))),"")</f>
        <v/>
      </c>
      <c r="P557" s="0" t="str">
        <f aca="false">IF(AND(OR($F557="In Progress",$F557="Pending Client Data",$F557="Under Review"),$A557&lt;&gt;""),SUMPRODUCT((($F$2:$F$600="In Progress")+($F$2:$F$600="Pending Client Data")+($F$2:$F$600="Under Review"))*($A$2:$A$600&lt;&gt;"")*((IF($G$2:$G$600="",99999999,$G$2:$G$600))&lt;IF($G557="",99999999,$G557)))+SUMPRODUCT((($F$2:$F557="In Progress")+($F$2:$F557="Pending Client Data")+($F$2:$F557="Under Review"))*($A$2:$A557&lt;&gt;"")*((IF($G$2:$G557="",99999999,$G$2:$G557))=IF($G557="",99999999,$G557))),"")</f>
        <v/>
      </c>
    </row>
    <row r="558" customFormat="false" ht="15" hidden="false" customHeight="false" outlineLevel="0" collapsed="false">
      <c r="A558" s="9"/>
      <c r="B558" s="9"/>
      <c r="C558" s="10" t="str">
        <f aca="false">IF($B558="","",IFERROR(INDEX('Client Master'!$C:$C,MATCH($B558,'Client Master'!$B:$B,0)),"Code not found"))</f>
        <v/>
      </c>
      <c r="D558" s="9"/>
      <c r="E558" s="9"/>
      <c r="F558" s="9"/>
      <c r="G558" s="11"/>
      <c r="H558" s="11"/>
      <c r="I558" s="9"/>
      <c r="J558" s="12"/>
      <c r="K558" s="11"/>
      <c r="L558" s="9"/>
      <c r="N558" s="0" t="str">
        <f aca="false">IF(AND($J558&gt;0,$K558="",$A558&lt;&gt;""),SUMPRODUCT(($J$2:$J$600&gt;0)*($K$2:$K$600="")*($A$2:$A$600&lt;&gt;"")*((IF($G$2:$G$600="",99999999,$G$2:$G$600))&lt;IF($G558="",99999999,$G558)))+SUMPRODUCT(($J$2:$J558&gt;0)*($K$2:$K558="")*($A$2:$A558&lt;&gt;"")*((IF($G$2:$G558="",99999999,$G$2:$G558))=IF($G558="",99999999,$G558))),"")</f>
        <v/>
      </c>
      <c r="O558" s="0" t="str">
        <f aca="false">IF(AND($F558="Not Started",$A558&lt;&gt;""),SUMPRODUCT(($F$2:$F$600="Not Started")*($A$2:$A$600&lt;&gt;"")*((IF($G$2:$G$600="",99999999,$G$2:$G$600))&lt;IF($G558="",99999999,$G558)))+SUMPRODUCT(($F$2:$F558="Not Started")*($A$2:$A558&lt;&gt;"")*((IF($G$2:$G558="",99999999,$G$2:$G558))=IF($G558="",99999999,$G558))),"")</f>
        <v/>
      </c>
      <c r="P558" s="0" t="str">
        <f aca="false">IF(AND(OR($F558="In Progress",$F558="Pending Client Data",$F558="Under Review"),$A558&lt;&gt;""),SUMPRODUCT((($F$2:$F$600="In Progress")+($F$2:$F$600="Pending Client Data")+($F$2:$F$600="Under Review"))*($A$2:$A$600&lt;&gt;"")*((IF($G$2:$G$600="",99999999,$G$2:$G$600))&lt;IF($G558="",99999999,$G558)))+SUMPRODUCT((($F$2:$F558="In Progress")+($F$2:$F558="Pending Client Data")+($F$2:$F558="Under Review"))*($A$2:$A558&lt;&gt;"")*((IF($G$2:$G558="",99999999,$G$2:$G558))=IF($G558="",99999999,$G558))),"")</f>
        <v/>
      </c>
    </row>
    <row r="559" customFormat="false" ht="15" hidden="false" customHeight="false" outlineLevel="0" collapsed="false">
      <c r="A559" s="9"/>
      <c r="B559" s="9"/>
      <c r="C559" s="10" t="str">
        <f aca="false">IF($B559="","",IFERROR(INDEX('Client Master'!$C:$C,MATCH($B559,'Client Master'!$B:$B,0)),"Code not found"))</f>
        <v/>
      </c>
      <c r="D559" s="9"/>
      <c r="E559" s="9"/>
      <c r="F559" s="9"/>
      <c r="G559" s="11"/>
      <c r="H559" s="11"/>
      <c r="I559" s="9"/>
      <c r="J559" s="12"/>
      <c r="K559" s="11"/>
      <c r="L559" s="9"/>
      <c r="N559" s="0" t="str">
        <f aca="false">IF(AND($J559&gt;0,$K559="",$A559&lt;&gt;""),SUMPRODUCT(($J$2:$J$600&gt;0)*($K$2:$K$600="")*($A$2:$A$600&lt;&gt;"")*((IF($G$2:$G$600="",99999999,$G$2:$G$600))&lt;IF($G559="",99999999,$G559)))+SUMPRODUCT(($J$2:$J559&gt;0)*($K$2:$K559="")*($A$2:$A559&lt;&gt;"")*((IF($G$2:$G559="",99999999,$G$2:$G559))=IF($G559="",99999999,$G559))),"")</f>
        <v/>
      </c>
      <c r="O559" s="0" t="str">
        <f aca="false">IF(AND($F559="Not Started",$A559&lt;&gt;""),SUMPRODUCT(($F$2:$F$600="Not Started")*($A$2:$A$600&lt;&gt;"")*((IF($G$2:$G$600="",99999999,$G$2:$G$600))&lt;IF($G559="",99999999,$G559)))+SUMPRODUCT(($F$2:$F559="Not Started")*($A$2:$A559&lt;&gt;"")*((IF($G$2:$G559="",99999999,$G$2:$G559))=IF($G559="",99999999,$G559))),"")</f>
        <v/>
      </c>
      <c r="P559" s="0" t="str">
        <f aca="false">IF(AND(OR($F559="In Progress",$F559="Pending Client Data",$F559="Under Review"),$A559&lt;&gt;""),SUMPRODUCT((($F$2:$F$600="In Progress")+($F$2:$F$600="Pending Client Data")+($F$2:$F$600="Under Review"))*($A$2:$A$600&lt;&gt;"")*((IF($G$2:$G$600="",99999999,$G$2:$G$600))&lt;IF($G559="",99999999,$G559)))+SUMPRODUCT((($F$2:$F559="In Progress")+($F$2:$F559="Pending Client Data")+($F$2:$F559="Under Review"))*($A$2:$A559&lt;&gt;"")*((IF($G$2:$G559="",99999999,$G$2:$G559))=IF($G559="",99999999,$G559))),"")</f>
        <v/>
      </c>
    </row>
    <row r="560" customFormat="false" ht="15" hidden="false" customHeight="false" outlineLevel="0" collapsed="false">
      <c r="A560" s="9"/>
      <c r="B560" s="9"/>
      <c r="C560" s="10" t="str">
        <f aca="false">IF($B560="","",IFERROR(INDEX('Client Master'!$C:$C,MATCH($B560,'Client Master'!$B:$B,0)),"Code not found"))</f>
        <v/>
      </c>
      <c r="D560" s="9"/>
      <c r="E560" s="9"/>
      <c r="F560" s="9"/>
      <c r="G560" s="11"/>
      <c r="H560" s="11"/>
      <c r="I560" s="9"/>
      <c r="J560" s="12"/>
      <c r="K560" s="11"/>
      <c r="L560" s="9"/>
      <c r="N560" s="0" t="str">
        <f aca="false">IF(AND($J560&gt;0,$K560="",$A560&lt;&gt;""),SUMPRODUCT(($J$2:$J$600&gt;0)*($K$2:$K$600="")*($A$2:$A$600&lt;&gt;"")*((IF($G$2:$G$600="",99999999,$G$2:$G$600))&lt;IF($G560="",99999999,$G560)))+SUMPRODUCT(($J$2:$J560&gt;0)*($K$2:$K560="")*($A$2:$A560&lt;&gt;"")*((IF($G$2:$G560="",99999999,$G$2:$G560))=IF($G560="",99999999,$G560))),"")</f>
        <v/>
      </c>
      <c r="O560" s="0" t="str">
        <f aca="false">IF(AND($F560="Not Started",$A560&lt;&gt;""),SUMPRODUCT(($F$2:$F$600="Not Started")*($A$2:$A$600&lt;&gt;"")*((IF($G$2:$G$600="",99999999,$G$2:$G$600))&lt;IF($G560="",99999999,$G560)))+SUMPRODUCT(($F$2:$F560="Not Started")*($A$2:$A560&lt;&gt;"")*((IF($G$2:$G560="",99999999,$G$2:$G560))=IF($G560="",99999999,$G560))),"")</f>
        <v/>
      </c>
      <c r="P560" s="0" t="str">
        <f aca="false">IF(AND(OR($F560="In Progress",$F560="Pending Client Data",$F560="Under Review"),$A560&lt;&gt;""),SUMPRODUCT((($F$2:$F$600="In Progress")+($F$2:$F$600="Pending Client Data")+($F$2:$F$600="Under Review"))*($A$2:$A$600&lt;&gt;"")*((IF($G$2:$G$600="",99999999,$G$2:$G$600))&lt;IF($G560="",99999999,$G560)))+SUMPRODUCT((($F$2:$F560="In Progress")+($F$2:$F560="Pending Client Data")+($F$2:$F560="Under Review"))*($A$2:$A560&lt;&gt;"")*((IF($G$2:$G560="",99999999,$G$2:$G560))=IF($G560="",99999999,$G560))),"")</f>
        <v/>
      </c>
    </row>
    <row r="561" customFormat="false" ht="15" hidden="false" customHeight="false" outlineLevel="0" collapsed="false">
      <c r="A561" s="9"/>
      <c r="B561" s="9"/>
      <c r="C561" s="10" t="str">
        <f aca="false">IF($B561="","",IFERROR(INDEX('Client Master'!$C:$C,MATCH($B561,'Client Master'!$B:$B,0)),"Code not found"))</f>
        <v/>
      </c>
      <c r="D561" s="9"/>
      <c r="E561" s="9"/>
      <c r="F561" s="9"/>
      <c r="G561" s="11"/>
      <c r="H561" s="11"/>
      <c r="I561" s="9"/>
      <c r="J561" s="12"/>
      <c r="K561" s="11"/>
      <c r="L561" s="9"/>
      <c r="N561" s="0" t="str">
        <f aca="false">IF(AND($J561&gt;0,$K561="",$A561&lt;&gt;""),SUMPRODUCT(($J$2:$J$600&gt;0)*($K$2:$K$600="")*($A$2:$A$600&lt;&gt;"")*((IF($G$2:$G$600="",99999999,$G$2:$G$600))&lt;IF($G561="",99999999,$G561)))+SUMPRODUCT(($J$2:$J561&gt;0)*($K$2:$K561="")*($A$2:$A561&lt;&gt;"")*((IF($G$2:$G561="",99999999,$G$2:$G561))=IF($G561="",99999999,$G561))),"")</f>
        <v/>
      </c>
      <c r="O561" s="0" t="str">
        <f aca="false">IF(AND($F561="Not Started",$A561&lt;&gt;""),SUMPRODUCT(($F$2:$F$600="Not Started")*($A$2:$A$600&lt;&gt;"")*((IF($G$2:$G$600="",99999999,$G$2:$G$600))&lt;IF($G561="",99999999,$G561)))+SUMPRODUCT(($F$2:$F561="Not Started")*($A$2:$A561&lt;&gt;"")*((IF($G$2:$G561="",99999999,$G$2:$G561))=IF($G561="",99999999,$G561))),"")</f>
        <v/>
      </c>
      <c r="P561" s="0" t="str">
        <f aca="false">IF(AND(OR($F561="In Progress",$F561="Pending Client Data",$F561="Under Review"),$A561&lt;&gt;""),SUMPRODUCT((($F$2:$F$600="In Progress")+($F$2:$F$600="Pending Client Data")+($F$2:$F$600="Under Review"))*($A$2:$A$600&lt;&gt;"")*((IF($G$2:$G$600="",99999999,$G$2:$G$600))&lt;IF($G561="",99999999,$G561)))+SUMPRODUCT((($F$2:$F561="In Progress")+($F$2:$F561="Pending Client Data")+($F$2:$F561="Under Review"))*($A$2:$A561&lt;&gt;"")*((IF($G$2:$G561="",99999999,$G$2:$G561))=IF($G561="",99999999,$G561))),"")</f>
        <v/>
      </c>
    </row>
    <row r="562" customFormat="false" ht="15" hidden="false" customHeight="false" outlineLevel="0" collapsed="false">
      <c r="A562" s="9"/>
      <c r="B562" s="9"/>
      <c r="C562" s="10" t="str">
        <f aca="false">IF($B562="","",IFERROR(INDEX('Client Master'!$C:$C,MATCH($B562,'Client Master'!$B:$B,0)),"Code not found"))</f>
        <v/>
      </c>
      <c r="D562" s="9"/>
      <c r="E562" s="9"/>
      <c r="F562" s="9"/>
      <c r="G562" s="11"/>
      <c r="H562" s="11"/>
      <c r="I562" s="9"/>
      <c r="J562" s="12"/>
      <c r="K562" s="11"/>
      <c r="L562" s="9"/>
      <c r="N562" s="0" t="str">
        <f aca="false">IF(AND($J562&gt;0,$K562="",$A562&lt;&gt;""),SUMPRODUCT(($J$2:$J$600&gt;0)*($K$2:$K$600="")*($A$2:$A$600&lt;&gt;"")*((IF($G$2:$G$600="",99999999,$G$2:$G$600))&lt;IF($G562="",99999999,$G562)))+SUMPRODUCT(($J$2:$J562&gt;0)*($K$2:$K562="")*($A$2:$A562&lt;&gt;"")*((IF($G$2:$G562="",99999999,$G$2:$G562))=IF($G562="",99999999,$G562))),"")</f>
        <v/>
      </c>
      <c r="O562" s="0" t="str">
        <f aca="false">IF(AND($F562="Not Started",$A562&lt;&gt;""),SUMPRODUCT(($F$2:$F$600="Not Started")*($A$2:$A$600&lt;&gt;"")*((IF($G$2:$G$600="",99999999,$G$2:$G$600))&lt;IF($G562="",99999999,$G562)))+SUMPRODUCT(($F$2:$F562="Not Started")*($A$2:$A562&lt;&gt;"")*((IF($G$2:$G562="",99999999,$G$2:$G562))=IF($G562="",99999999,$G562))),"")</f>
        <v/>
      </c>
      <c r="P562" s="0" t="str">
        <f aca="false">IF(AND(OR($F562="In Progress",$F562="Pending Client Data",$F562="Under Review"),$A562&lt;&gt;""),SUMPRODUCT((($F$2:$F$600="In Progress")+($F$2:$F$600="Pending Client Data")+($F$2:$F$600="Under Review"))*($A$2:$A$600&lt;&gt;"")*((IF($G$2:$G$600="",99999999,$G$2:$G$600))&lt;IF($G562="",99999999,$G562)))+SUMPRODUCT((($F$2:$F562="In Progress")+($F$2:$F562="Pending Client Data")+($F$2:$F562="Under Review"))*($A$2:$A562&lt;&gt;"")*((IF($G$2:$G562="",99999999,$G$2:$G562))=IF($G562="",99999999,$G562))),"")</f>
        <v/>
      </c>
    </row>
    <row r="563" customFormat="false" ht="15" hidden="false" customHeight="false" outlineLevel="0" collapsed="false">
      <c r="A563" s="9"/>
      <c r="B563" s="9"/>
      <c r="C563" s="10" t="str">
        <f aca="false">IF($B563="","",IFERROR(INDEX('Client Master'!$C:$C,MATCH($B563,'Client Master'!$B:$B,0)),"Code not found"))</f>
        <v/>
      </c>
      <c r="D563" s="9"/>
      <c r="E563" s="9"/>
      <c r="F563" s="9"/>
      <c r="G563" s="11"/>
      <c r="H563" s="11"/>
      <c r="I563" s="9"/>
      <c r="J563" s="12"/>
      <c r="K563" s="11"/>
      <c r="L563" s="9"/>
      <c r="N563" s="0" t="str">
        <f aca="false">IF(AND($J563&gt;0,$K563="",$A563&lt;&gt;""),SUMPRODUCT(($J$2:$J$600&gt;0)*($K$2:$K$600="")*($A$2:$A$600&lt;&gt;"")*((IF($G$2:$G$600="",99999999,$G$2:$G$600))&lt;IF($G563="",99999999,$G563)))+SUMPRODUCT(($J$2:$J563&gt;0)*($K$2:$K563="")*($A$2:$A563&lt;&gt;"")*((IF($G$2:$G563="",99999999,$G$2:$G563))=IF($G563="",99999999,$G563))),"")</f>
        <v/>
      </c>
      <c r="O563" s="0" t="str">
        <f aca="false">IF(AND($F563="Not Started",$A563&lt;&gt;""),SUMPRODUCT(($F$2:$F$600="Not Started")*($A$2:$A$600&lt;&gt;"")*((IF($G$2:$G$600="",99999999,$G$2:$G$600))&lt;IF($G563="",99999999,$G563)))+SUMPRODUCT(($F$2:$F563="Not Started")*($A$2:$A563&lt;&gt;"")*((IF($G$2:$G563="",99999999,$G$2:$G563))=IF($G563="",99999999,$G563))),"")</f>
        <v/>
      </c>
      <c r="P563" s="0" t="str">
        <f aca="false">IF(AND(OR($F563="In Progress",$F563="Pending Client Data",$F563="Under Review"),$A563&lt;&gt;""),SUMPRODUCT((($F$2:$F$600="In Progress")+($F$2:$F$600="Pending Client Data")+($F$2:$F$600="Under Review"))*($A$2:$A$600&lt;&gt;"")*((IF($G$2:$G$600="",99999999,$G$2:$G$600))&lt;IF($G563="",99999999,$G563)))+SUMPRODUCT((($F$2:$F563="In Progress")+($F$2:$F563="Pending Client Data")+($F$2:$F563="Under Review"))*($A$2:$A563&lt;&gt;"")*((IF($G$2:$G563="",99999999,$G$2:$G563))=IF($G563="",99999999,$G563))),"")</f>
        <v/>
      </c>
    </row>
    <row r="564" customFormat="false" ht="15" hidden="false" customHeight="false" outlineLevel="0" collapsed="false">
      <c r="A564" s="9"/>
      <c r="B564" s="9"/>
      <c r="C564" s="10" t="str">
        <f aca="false">IF($B564="","",IFERROR(INDEX('Client Master'!$C:$C,MATCH($B564,'Client Master'!$B:$B,0)),"Code not found"))</f>
        <v/>
      </c>
      <c r="D564" s="9"/>
      <c r="E564" s="9"/>
      <c r="F564" s="9"/>
      <c r="G564" s="11"/>
      <c r="H564" s="11"/>
      <c r="I564" s="9"/>
      <c r="J564" s="12"/>
      <c r="K564" s="11"/>
      <c r="L564" s="9"/>
      <c r="N564" s="0" t="str">
        <f aca="false">IF(AND($J564&gt;0,$K564="",$A564&lt;&gt;""),SUMPRODUCT(($J$2:$J$600&gt;0)*($K$2:$K$600="")*($A$2:$A$600&lt;&gt;"")*((IF($G$2:$G$600="",99999999,$G$2:$G$600))&lt;IF($G564="",99999999,$G564)))+SUMPRODUCT(($J$2:$J564&gt;0)*($K$2:$K564="")*($A$2:$A564&lt;&gt;"")*((IF($G$2:$G564="",99999999,$G$2:$G564))=IF($G564="",99999999,$G564))),"")</f>
        <v/>
      </c>
      <c r="O564" s="0" t="str">
        <f aca="false">IF(AND($F564="Not Started",$A564&lt;&gt;""),SUMPRODUCT(($F$2:$F$600="Not Started")*($A$2:$A$600&lt;&gt;"")*((IF($G$2:$G$600="",99999999,$G$2:$G$600))&lt;IF($G564="",99999999,$G564)))+SUMPRODUCT(($F$2:$F564="Not Started")*($A$2:$A564&lt;&gt;"")*((IF($G$2:$G564="",99999999,$G$2:$G564))=IF($G564="",99999999,$G564))),"")</f>
        <v/>
      </c>
      <c r="P564" s="0" t="str">
        <f aca="false">IF(AND(OR($F564="In Progress",$F564="Pending Client Data",$F564="Under Review"),$A564&lt;&gt;""),SUMPRODUCT((($F$2:$F$600="In Progress")+($F$2:$F$600="Pending Client Data")+($F$2:$F$600="Under Review"))*($A$2:$A$600&lt;&gt;"")*((IF($G$2:$G$600="",99999999,$G$2:$G$600))&lt;IF($G564="",99999999,$G564)))+SUMPRODUCT((($F$2:$F564="In Progress")+($F$2:$F564="Pending Client Data")+($F$2:$F564="Under Review"))*($A$2:$A564&lt;&gt;"")*((IF($G$2:$G564="",99999999,$G$2:$G564))=IF($G564="",99999999,$G564))),"")</f>
        <v/>
      </c>
    </row>
    <row r="565" customFormat="false" ht="15" hidden="false" customHeight="false" outlineLevel="0" collapsed="false">
      <c r="A565" s="9"/>
      <c r="B565" s="9"/>
      <c r="C565" s="10" t="str">
        <f aca="false">IF($B565="","",IFERROR(INDEX('Client Master'!$C:$C,MATCH($B565,'Client Master'!$B:$B,0)),"Code not found"))</f>
        <v/>
      </c>
      <c r="D565" s="9"/>
      <c r="E565" s="9"/>
      <c r="F565" s="9"/>
      <c r="G565" s="11"/>
      <c r="H565" s="11"/>
      <c r="I565" s="9"/>
      <c r="J565" s="12"/>
      <c r="K565" s="11"/>
      <c r="L565" s="9"/>
      <c r="N565" s="0" t="str">
        <f aca="false">IF(AND($J565&gt;0,$K565="",$A565&lt;&gt;""),SUMPRODUCT(($J$2:$J$600&gt;0)*($K$2:$K$600="")*($A$2:$A$600&lt;&gt;"")*((IF($G$2:$G$600="",99999999,$G$2:$G$600))&lt;IF($G565="",99999999,$G565)))+SUMPRODUCT(($J$2:$J565&gt;0)*($K$2:$K565="")*($A$2:$A565&lt;&gt;"")*((IF($G$2:$G565="",99999999,$G$2:$G565))=IF($G565="",99999999,$G565))),"")</f>
        <v/>
      </c>
      <c r="O565" s="0" t="str">
        <f aca="false">IF(AND($F565="Not Started",$A565&lt;&gt;""),SUMPRODUCT(($F$2:$F$600="Not Started")*($A$2:$A$600&lt;&gt;"")*((IF($G$2:$G$600="",99999999,$G$2:$G$600))&lt;IF($G565="",99999999,$G565)))+SUMPRODUCT(($F$2:$F565="Not Started")*($A$2:$A565&lt;&gt;"")*((IF($G$2:$G565="",99999999,$G$2:$G565))=IF($G565="",99999999,$G565))),"")</f>
        <v/>
      </c>
      <c r="P565" s="0" t="str">
        <f aca="false">IF(AND(OR($F565="In Progress",$F565="Pending Client Data",$F565="Under Review"),$A565&lt;&gt;""),SUMPRODUCT((($F$2:$F$600="In Progress")+($F$2:$F$600="Pending Client Data")+($F$2:$F$600="Under Review"))*($A$2:$A$600&lt;&gt;"")*((IF($G$2:$G$600="",99999999,$G$2:$G$600))&lt;IF($G565="",99999999,$G565)))+SUMPRODUCT((($F$2:$F565="In Progress")+($F$2:$F565="Pending Client Data")+($F$2:$F565="Under Review"))*($A$2:$A565&lt;&gt;"")*((IF($G$2:$G565="",99999999,$G$2:$G565))=IF($G565="",99999999,$G565))),"")</f>
        <v/>
      </c>
    </row>
    <row r="566" customFormat="false" ht="15" hidden="false" customHeight="false" outlineLevel="0" collapsed="false">
      <c r="A566" s="9"/>
      <c r="B566" s="9"/>
      <c r="C566" s="10" t="str">
        <f aca="false">IF($B566="","",IFERROR(INDEX('Client Master'!$C:$C,MATCH($B566,'Client Master'!$B:$B,0)),"Code not found"))</f>
        <v/>
      </c>
      <c r="D566" s="9"/>
      <c r="E566" s="9"/>
      <c r="F566" s="9"/>
      <c r="G566" s="11"/>
      <c r="H566" s="11"/>
      <c r="I566" s="9"/>
      <c r="J566" s="12"/>
      <c r="K566" s="11"/>
      <c r="L566" s="9"/>
      <c r="N566" s="0" t="str">
        <f aca="false">IF(AND($J566&gt;0,$K566="",$A566&lt;&gt;""),SUMPRODUCT(($J$2:$J$600&gt;0)*($K$2:$K$600="")*($A$2:$A$600&lt;&gt;"")*((IF($G$2:$G$600="",99999999,$G$2:$G$600))&lt;IF($G566="",99999999,$G566)))+SUMPRODUCT(($J$2:$J566&gt;0)*($K$2:$K566="")*($A$2:$A566&lt;&gt;"")*((IF($G$2:$G566="",99999999,$G$2:$G566))=IF($G566="",99999999,$G566))),"")</f>
        <v/>
      </c>
      <c r="O566" s="0" t="str">
        <f aca="false">IF(AND($F566="Not Started",$A566&lt;&gt;""),SUMPRODUCT(($F$2:$F$600="Not Started")*($A$2:$A$600&lt;&gt;"")*((IF($G$2:$G$600="",99999999,$G$2:$G$600))&lt;IF($G566="",99999999,$G566)))+SUMPRODUCT(($F$2:$F566="Not Started")*($A$2:$A566&lt;&gt;"")*((IF($G$2:$G566="",99999999,$G$2:$G566))=IF($G566="",99999999,$G566))),"")</f>
        <v/>
      </c>
      <c r="P566" s="0" t="str">
        <f aca="false">IF(AND(OR($F566="In Progress",$F566="Pending Client Data",$F566="Under Review"),$A566&lt;&gt;""),SUMPRODUCT((($F$2:$F$600="In Progress")+($F$2:$F$600="Pending Client Data")+($F$2:$F$600="Under Review"))*($A$2:$A$600&lt;&gt;"")*((IF($G$2:$G$600="",99999999,$G$2:$G$600))&lt;IF($G566="",99999999,$G566)))+SUMPRODUCT((($F$2:$F566="In Progress")+($F$2:$F566="Pending Client Data")+($F$2:$F566="Under Review"))*($A$2:$A566&lt;&gt;"")*((IF($G$2:$G566="",99999999,$G$2:$G566))=IF($G566="",99999999,$G566))),"")</f>
        <v/>
      </c>
    </row>
    <row r="567" customFormat="false" ht="15" hidden="false" customHeight="false" outlineLevel="0" collapsed="false">
      <c r="A567" s="9"/>
      <c r="B567" s="9"/>
      <c r="C567" s="10" t="str">
        <f aca="false">IF($B567="","",IFERROR(INDEX('Client Master'!$C:$C,MATCH($B567,'Client Master'!$B:$B,0)),"Code not found"))</f>
        <v/>
      </c>
      <c r="D567" s="9"/>
      <c r="E567" s="9"/>
      <c r="F567" s="9"/>
      <c r="G567" s="11"/>
      <c r="H567" s="11"/>
      <c r="I567" s="9"/>
      <c r="J567" s="12"/>
      <c r="K567" s="11"/>
      <c r="L567" s="9"/>
      <c r="N567" s="0" t="str">
        <f aca="false">IF(AND($J567&gt;0,$K567="",$A567&lt;&gt;""),SUMPRODUCT(($J$2:$J$600&gt;0)*($K$2:$K$600="")*($A$2:$A$600&lt;&gt;"")*((IF($G$2:$G$600="",99999999,$G$2:$G$600))&lt;IF($G567="",99999999,$G567)))+SUMPRODUCT(($J$2:$J567&gt;0)*($K$2:$K567="")*($A$2:$A567&lt;&gt;"")*((IF($G$2:$G567="",99999999,$G$2:$G567))=IF($G567="",99999999,$G567))),"")</f>
        <v/>
      </c>
      <c r="O567" s="0" t="str">
        <f aca="false">IF(AND($F567="Not Started",$A567&lt;&gt;""),SUMPRODUCT(($F$2:$F$600="Not Started")*($A$2:$A$600&lt;&gt;"")*((IF($G$2:$G$600="",99999999,$G$2:$G$600))&lt;IF($G567="",99999999,$G567)))+SUMPRODUCT(($F$2:$F567="Not Started")*($A$2:$A567&lt;&gt;"")*((IF($G$2:$G567="",99999999,$G$2:$G567))=IF($G567="",99999999,$G567))),"")</f>
        <v/>
      </c>
      <c r="P567" s="0" t="str">
        <f aca="false">IF(AND(OR($F567="In Progress",$F567="Pending Client Data",$F567="Under Review"),$A567&lt;&gt;""),SUMPRODUCT((($F$2:$F$600="In Progress")+($F$2:$F$600="Pending Client Data")+($F$2:$F$600="Under Review"))*($A$2:$A$600&lt;&gt;"")*((IF($G$2:$G$600="",99999999,$G$2:$G$600))&lt;IF($G567="",99999999,$G567)))+SUMPRODUCT((($F$2:$F567="In Progress")+($F$2:$F567="Pending Client Data")+($F$2:$F567="Under Review"))*($A$2:$A567&lt;&gt;"")*((IF($G$2:$G567="",99999999,$G$2:$G567))=IF($G567="",99999999,$G567))),"")</f>
        <v/>
      </c>
    </row>
    <row r="568" customFormat="false" ht="15" hidden="false" customHeight="false" outlineLevel="0" collapsed="false">
      <c r="A568" s="9"/>
      <c r="B568" s="9"/>
      <c r="C568" s="10" t="str">
        <f aca="false">IF($B568="","",IFERROR(INDEX('Client Master'!$C:$C,MATCH($B568,'Client Master'!$B:$B,0)),"Code not found"))</f>
        <v/>
      </c>
      <c r="D568" s="9"/>
      <c r="E568" s="9"/>
      <c r="F568" s="9"/>
      <c r="G568" s="11"/>
      <c r="H568" s="11"/>
      <c r="I568" s="9"/>
      <c r="J568" s="12"/>
      <c r="K568" s="11"/>
      <c r="L568" s="9"/>
      <c r="N568" s="0" t="str">
        <f aca="false">IF(AND($J568&gt;0,$K568="",$A568&lt;&gt;""),SUMPRODUCT(($J$2:$J$600&gt;0)*($K$2:$K$600="")*($A$2:$A$600&lt;&gt;"")*((IF($G$2:$G$600="",99999999,$G$2:$G$600))&lt;IF($G568="",99999999,$G568)))+SUMPRODUCT(($J$2:$J568&gt;0)*($K$2:$K568="")*($A$2:$A568&lt;&gt;"")*((IF($G$2:$G568="",99999999,$G$2:$G568))=IF($G568="",99999999,$G568))),"")</f>
        <v/>
      </c>
      <c r="O568" s="0" t="str">
        <f aca="false">IF(AND($F568="Not Started",$A568&lt;&gt;""),SUMPRODUCT(($F$2:$F$600="Not Started")*($A$2:$A$600&lt;&gt;"")*((IF($G$2:$G$600="",99999999,$G$2:$G$600))&lt;IF($G568="",99999999,$G568)))+SUMPRODUCT(($F$2:$F568="Not Started")*($A$2:$A568&lt;&gt;"")*((IF($G$2:$G568="",99999999,$G$2:$G568))=IF($G568="",99999999,$G568))),"")</f>
        <v/>
      </c>
      <c r="P568" s="0" t="str">
        <f aca="false">IF(AND(OR($F568="In Progress",$F568="Pending Client Data",$F568="Under Review"),$A568&lt;&gt;""),SUMPRODUCT((($F$2:$F$600="In Progress")+($F$2:$F$600="Pending Client Data")+($F$2:$F$600="Under Review"))*($A$2:$A$600&lt;&gt;"")*((IF($G$2:$G$600="",99999999,$G$2:$G$600))&lt;IF($G568="",99999999,$G568)))+SUMPRODUCT((($F$2:$F568="In Progress")+($F$2:$F568="Pending Client Data")+($F$2:$F568="Under Review"))*($A$2:$A568&lt;&gt;"")*((IF($G$2:$G568="",99999999,$G$2:$G568))=IF($G568="",99999999,$G568))),"")</f>
        <v/>
      </c>
    </row>
    <row r="569" customFormat="false" ht="15" hidden="false" customHeight="false" outlineLevel="0" collapsed="false">
      <c r="A569" s="9"/>
      <c r="B569" s="9"/>
      <c r="C569" s="10" t="str">
        <f aca="false">IF($B569="","",IFERROR(INDEX('Client Master'!$C:$C,MATCH($B569,'Client Master'!$B:$B,0)),"Code not found"))</f>
        <v/>
      </c>
      <c r="D569" s="9"/>
      <c r="E569" s="9"/>
      <c r="F569" s="9"/>
      <c r="G569" s="11"/>
      <c r="H569" s="11"/>
      <c r="I569" s="9"/>
      <c r="J569" s="12"/>
      <c r="K569" s="11"/>
      <c r="L569" s="9"/>
      <c r="N569" s="0" t="str">
        <f aca="false">IF(AND($J569&gt;0,$K569="",$A569&lt;&gt;""),SUMPRODUCT(($J$2:$J$600&gt;0)*($K$2:$K$600="")*($A$2:$A$600&lt;&gt;"")*((IF($G$2:$G$600="",99999999,$G$2:$G$600))&lt;IF($G569="",99999999,$G569)))+SUMPRODUCT(($J$2:$J569&gt;0)*($K$2:$K569="")*($A$2:$A569&lt;&gt;"")*((IF($G$2:$G569="",99999999,$G$2:$G569))=IF($G569="",99999999,$G569))),"")</f>
        <v/>
      </c>
      <c r="O569" s="0" t="str">
        <f aca="false">IF(AND($F569="Not Started",$A569&lt;&gt;""),SUMPRODUCT(($F$2:$F$600="Not Started")*($A$2:$A$600&lt;&gt;"")*((IF($G$2:$G$600="",99999999,$G$2:$G$600))&lt;IF($G569="",99999999,$G569)))+SUMPRODUCT(($F$2:$F569="Not Started")*($A$2:$A569&lt;&gt;"")*((IF($G$2:$G569="",99999999,$G$2:$G569))=IF($G569="",99999999,$G569))),"")</f>
        <v/>
      </c>
      <c r="P569" s="0" t="str">
        <f aca="false">IF(AND(OR($F569="In Progress",$F569="Pending Client Data",$F569="Under Review"),$A569&lt;&gt;""),SUMPRODUCT((($F$2:$F$600="In Progress")+($F$2:$F$600="Pending Client Data")+($F$2:$F$600="Under Review"))*($A$2:$A$600&lt;&gt;"")*((IF($G$2:$G$600="",99999999,$G$2:$G$600))&lt;IF($G569="",99999999,$G569)))+SUMPRODUCT((($F$2:$F569="In Progress")+($F$2:$F569="Pending Client Data")+($F$2:$F569="Under Review"))*($A$2:$A569&lt;&gt;"")*((IF($G$2:$G569="",99999999,$G$2:$G569))=IF($G569="",99999999,$G569))),"")</f>
        <v/>
      </c>
    </row>
    <row r="570" customFormat="false" ht="15" hidden="false" customHeight="false" outlineLevel="0" collapsed="false">
      <c r="A570" s="9"/>
      <c r="B570" s="9"/>
      <c r="C570" s="10" t="str">
        <f aca="false">IF($B570="","",IFERROR(INDEX('Client Master'!$C:$C,MATCH($B570,'Client Master'!$B:$B,0)),"Code not found"))</f>
        <v/>
      </c>
      <c r="D570" s="9"/>
      <c r="E570" s="9"/>
      <c r="F570" s="9"/>
      <c r="G570" s="11"/>
      <c r="H570" s="11"/>
      <c r="I570" s="9"/>
      <c r="J570" s="12"/>
      <c r="K570" s="11"/>
      <c r="L570" s="9"/>
      <c r="N570" s="0" t="str">
        <f aca="false">IF(AND($J570&gt;0,$K570="",$A570&lt;&gt;""),SUMPRODUCT(($J$2:$J$600&gt;0)*($K$2:$K$600="")*($A$2:$A$600&lt;&gt;"")*((IF($G$2:$G$600="",99999999,$G$2:$G$600))&lt;IF($G570="",99999999,$G570)))+SUMPRODUCT(($J$2:$J570&gt;0)*($K$2:$K570="")*($A$2:$A570&lt;&gt;"")*((IF($G$2:$G570="",99999999,$G$2:$G570))=IF($G570="",99999999,$G570))),"")</f>
        <v/>
      </c>
      <c r="O570" s="0" t="str">
        <f aca="false">IF(AND($F570="Not Started",$A570&lt;&gt;""),SUMPRODUCT(($F$2:$F$600="Not Started")*($A$2:$A$600&lt;&gt;"")*((IF($G$2:$G$600="",99999999,$G$2:$G$600))&lt;IF($G570="",99999999,$G570)))+SUMPRODUCT(($F$2:$F570="Not Started")*($A$2:$A570&lt;&gt;"")*((IF($G$2:$G570="",99999999,$G$2:$G570))=IF($G570="",99999999,$G570))),"")</f>
        <v/>
      </c>
      <c r="P570" s="0" t="str">
        <f aca="false">IF(AND(OR($F570="In Progress",$F570="Pending Client Data",$F570="Under Review"),$A570&lt;&gt;""),SUMPRODUCT((($F$2:$F$600="In Progress")+($F$2:$F$600="Pending Client Data")+($F$2:$F$600="Under Review"))*($A$2:$A$600&lt;&gt;"")*((IF($G$2:$G$600="",99999999,$G$2:$G$600))&lt;IF($G570="",99999999,$G570)))+SUMPRODUCT((($F$2:$F570="In Progress")+($F$2:$F570="Pending Client Data")+($F$2:$F570="Under Review"))*($A$2:$A570&lt;&gt;"")*((IF($G$2:$G570="",99999999,$G$2:$G570))=IF($G570="",99999999,$G570))),"")</f>
        <v/>
      </c>
    </row>
    <row r="571" customFormat="false" ht="15" hidden="false" customHeight="false" outlineLevel="0" collapsed="false">
      <c r="A571" s="9"/>
      <c r="B571" s="9"/>
      <c r="C571" s="10" t="str">
        <f aca="false">IF($B571="","",IFERROR(INDEX('Client Master'!$C:$C,MATCH($B571,'Client Master'!$B:$B,0)),"Code not found"))</f>
        <v/>
      </c>
      <c r="D571" s="9"/>
      <c r="E571" s="9"/>
      <c r="F571" s="9"/>
      <c r="G571" s="11"/>
      <c r="H571" s="11"/>
      <c r="I571" s="9"/>
      <c r="J571" s="12"/>
      <c r="K571" s="11"/>
      <c r="L571" s="9"/>
      <c r="N571" s="0" t="str">
        <f aca="false">IF(AND($J571&gt;0,$K571="",$A571&lt;&gt;""),SUMPRODUCT(($J$2:$J$600&gt;0)*($K$2:$K$600="")*($A$2:$A$600&lt;&gt;"")*((IF($G$2:$G$600="",99999999,$G$2:$G$600))&lt;IF($G571="",99999999,$G571)))+SUMPRODUCT(($J$2:$J571&gt;0)*($K$2:$K571="")*($A$2:$A571&lt;&gt;"")*((IF($G$2:$G571="",99999999,$G$2:$G571))=IF($G571="",99999999,$G571))),"")</f>
        <v/>
      </c>
      <c r="O571" s="0" t="str">
        <f aca="false">IF(AND($F571="Not Started",$A571&lt;&gt;""),SUMPRODUCT(($F$2:$F$600="Not Started")*($A$2:$A$600&lt;&gt;"")*((IF($G$2:$G$600="",99999999,$G$2:$G$600))&lt;IF($G571="",99999999,$G571)))+SUMPRODUCT(($F$2:$F571="Not Started")*($A$2:$A571&lt;&gt;"")*((IF($G$2:$G571="",99999999,$G$2:$G571))=IF($G571="",99999999,$G571))),"")</f>
        <v/>
      </c>
      <c r="P571" s="0" t="str">
        <f aca="false">IF(AND(OR($F571="In Progress",$F571="Pending Client Data",$F571="Under Review"),$A571&lt;&gt;""),SUMPRODUCT((($F$2:$F$600="In Progress")+($F$2:$F$600="Pending Client Data")+($F$2:$F$600="Under Review"))*($A$2:$A$600&lt;&gt;"")*((IF($G$2:$G$600="",99999999,$G$2:$G$600))&lt;IF($G571="",99999999,$G571)))+SUMPRODUCT((($F$2:$F571="In Progress")+($F$2:$F571="Pending Client Data")+($F$2:$F571="Under Review"))*($A$2:$A571&lt;&gt;"")*((IF($G$2:$G571="",99999999,$G$2:$G571))=IF($G571="",99999999,$G571))),"")</f>
        <v/>
      </c>
    </row>
    <row r="572" customFormat="false" ht="15" hidden="false" customHeight="false" outlineLevel="0" collapsed="false">
      <c r="A572" s="9"/>
      <c r="B572" s="9"/>
      <c r="C572" s="10" t="str">
        <f aca="false">IF($B572="","",IFERROR(INDEX('Client Master'!$C:$C,MATCH($B572,'Client Master'!$B:$B,0)),"Code not found"))</f>
        <v/>
      </c>
      <c r="D572" s="9"/>
      <c r="E572" s="9"/>
      <c r="F572" s="9"/>
      <c r="G572" s="11"/>
      <c r="H572" s="11"/>
      <c r="I572" s="9"/>
      <c r="J572" s="12"/>
      <c r="K572" s="11"/>
      <c r="L572" s="9"/>
      <c r="N572" s="0" t="str">
        <f aca="false">IF(AND($J572&gt;0,$K572="",$A572&lt;&gt;""),SUMPRODUCT(($J$2:$J$600&gt;0)*($K$2:$K$600="")*($A$2:$A$600&lt;&gt;"")*((IF($G$2:$G$600="",99999999,$G$2:$G$600))&lt;IF($G572="",99999999,$G572)))+SUMPRODUCT(($J$2:$J572&gt;0)*($K$2:$K572="")*($A$2:$A572&lt;&gt;"")*((IF($G$2:$G572="",99999999,$G$2:$G572))=IF($G572="",99999999,$G572))),"")</f>
        <v/>
      </c>
      <c r="O572" s="0" t="str">
        <f aca="false">IF(AND($F572="Not Started",$A572&lt;&gt;""),SUMPRODUCT(($F$2:$F$600="Not Started")*($A$2:$A$600&lt;&gt;"")*((IF($G$2:$G$600="",99999999,$G$2:$G$600))&lt;IF($G572="",99999999,$G572)))+SUMPRODUCT(($F$2:$F572="Not Started")*($A$2:$A572&lt;&gt;"")*((IF($G$2:$G572="",99999999,$G$2:$G572))=IF($G572="",99999999,$G572))),"")</f>
        <v/>
      </c>
      <c r="P572" s="0" t="str">
        <f aca="false">IF(AND(OR($F572="In Progress",$F572="Pending Client Data",$F572="Under Review"),$A572&lt;&gt;""),SUMPRODUCT((($F$2:$F$600="In Progress")+($F$2:$F$600="Pending Client Data")+($F$2:$F$600="Under Review"))*($A$2:$A$600&lt;&gt;"")*((IF($G$2:$G$600="",99999999,$G$2:$G$600))&lt;IF($G572="",99999999,$G572)))+SUMPRODUCT((($F$2:$F572="In Progress")+($F$2:$F572="Pending Client Data")+($F$2:$F572="Under Review"))*($A$2:$A572&lt;&gt;"")*((IF($G$2:$G572="",99999999,$G$2:$G572))=IF($G572="",99999999,$G572))),"")</f>
        <v/>
      </c>
    </row>
    <row r="573" customFormat="false" ht="15" hidden="false" customHeight="false" outlineLevel="0" collapsed="false">
      <c r="A573" s="9"/>
      <c r="B573" s="9"/>
      <c r="C573" s="10" t="str">
        <f aca="false">IF($B573="","",IFERROR(INDEX('Client Master'!$C:$C,MATCH($B573,'Client Master'!$B:$B,0)),"Code not found"))</f>
        <v/>
      </c>
      <c r="D573" s="9"/>
      <c r="E573" s="9"/>
      <c r="F573" s="9"/>
      <c r="G573" s="11"/>
      <c r="H573" s="11"/>
      <c r="I573" s="9"/>
      <c r="J573" s="12"/>
      <c r="K573" s="11"/>
      <c r="L573" s="9"/>
      <c r="N573" s="0" t="str">
        <f aca="false">IF(AND($J573&gt;0,$K573="",$A573&lt;&gt;""),SUMPRODUCT(($J$2:$J$600&gt;0)*($K$2:$K$600="")*($A$2:$A$600&lt;&gt;"")*((IF($G$2:$G$600="",99999999,$G$2:$G$600))&lt;IF($G573="",99999999,$G573)))+SUMPRODUCT(($J$2:$J573&gt;0)*($K$2:$K573="")*($A$2:$A573&lt;&gt;"")*((IF($G$2:$G573="",99999999,$G$2:$G573))=IF($G573="",99999999,$G573))),"")</f>
        <v/>
      </c>
      <c r="O573" s="0" t="str">
        <f aca="false">IF(AND($F573="Not Started",$A573&lt;&gt;""),SUMPRODUCT(($F$2:$F$600="Not Started")*($A$2:$A$600&lt;&gt;"")*((IF($G$2:$G$600="",99999999,$G$2:$G$600))&lt;IF($G573="",99999999,$G573)))+SUMPRODUCT(($F$2:$F573="Not Started")*($A$2:$A573&lt;&gt;"")*((IF($G$2:$G573="",99999999,$G$2:$G573))=IF($G573="",99999999,$G573))),"")</f>
        <v/>
      </c>
      <c r="P573" s="0" t="str">
        <f aca="false">IF(AND(OR($F573="In Progress",$F573="Pending Client Data",$F573="Under Review"),$A573&lt;&gt;""),SUMPRODUCT((($F$2:$F$600="In Progress")+($F$2:$F$600="Pending Client Data")+($F$2:$F$600="Under Review"))*($A$2:$A$600&lt;&gt;"")*((IF($G$2:$G$600="",99999999,$G$2:$G$600))&lt;IF($G573="",99999999,$G573)))+SUMPRODUCT((($F$2:$F573="In Progress")+($F$2:$F573="Pending Client Data")+($F$2:$F573="Under Review"))*($A$2:$A573&lt;&gt;"")*((IF($G$2:$G573="",99999999,$G$2:$G573))=IF($G573="",99999999,$G573))),"")</f>
        <v/>
      </c>
    </row>
    <row r="574" customFormat="false" ht="15" hidden="false" customHeight="false" outlineLevel="0" collapsed="false">
      <c r="A574" s="9"/>
      <c r="B574" s="9"/>
      <c r="C574" s="10" t="str">
        <f aca="false">IF($B574="","",IFERROR(INDEX('Client Master'!$C:$C,MATCH($B574,'Client Master'!$B:$B,0)),"Code not found"))</f>
        <v/>
      </c>
      <c r="D574" s="9"/>
      <c r="E574" s="9"/>
      <c r="F574" s="9"/>
      <c r="G574" s="11"/>
      <c r="H574" s="11"/>
      <c r="I574" s="9"/>
      <c r="J574" s="12"/>
      <c r="K574" s="11"/>
      <c r="L574" s="9"/>
      <c r="N574" s="0" t="str">
        <f aca="false">IF(AND($J574&gt;0,$K574="",$A574&lt;&gt;""),SUMPRODUCT(($J$2:$J$600&gt;0)*($K$2:$K$600="")*($A$2:$A$600&lt;&gt;"")*((IF($G$2:$G$600="",99999999,$G$2:$G$600))&lt;IF($G574="",99999999,$G574)))+SUMPRODUCT(($J$2:$J574&gt;0)*($K$2:$K574="")*($A$2:$A574&lt;&gt;"")*((IF($G$2:$G574="",99999999,$G$2:$G574))=IF($G574="",99999999,$G574))),"")</f>
        <v/>
      </c>
      <c r="O574" s="0" t="str">
        <f aca="false">IF(AND($F574="Not Started",$A574&lt;&gt;""),SUMPRODUCT(($F$2:$F$600="Not Started")*($A$2:$A$600&lt;&gt;"")*((IF($G$2:$G$600="",99999999,$G$2:$G$600))&lt;IF($G574="",99999999,$G574)))+SUMPRODUCT(($F$2:$F574="Not Started")*($A$2:$A574&lt;&gt;"")*((IF($G$2:$G574="",99999999,$G$2:$G574))=IF($G574="",99999999,$G574))),"")</f>
        <v/>
      </c>
      <c r="P574" s="0" t="str">
        <f aca="false">IF(AND(OR($F574="In Progress",$F574="Pending Client Data",$F574="Under Review"),$A574&lt;&gt;""),SUMPRODUCT((($F$2:$F$600="In Progress")+($F$2:$F$600="Pending Client Data")+($F$2:$F$600="Under Review"))*($A$2:$A$600&lt;&gt;"")*((IF($G$2:$G$600="",99999999,$G$2:$G$600))&lt;IF($G574="",99999999,$G574)))+SUMPRODUCT((($F$2:$F574="In Progress")+($F$2:$F574="Pending Client Data")+($F$2:$F574="Under Review"))*($A$2:$A574&lt;&gt;"")*((IF($G$2:$G574="",99999999,$G$2:$G574))=IF($G574="",99999999,$G574))),"")</f>
        <v/>
      </c>
    </row>
    <row r="575" customFormat="false" ht="15" hidden="false" customHeight="false" outlineLevel="0" collapsed="false">
      <c r="A575" s="9"/>
      <c r="B575" s="9"/>
      <c r="C575" s="10" t="str">
        <f aca="false">IF($B575="","",IFERROR(INDEX('Client Master'!$C:$C,MATCH($B575,'Client Master'!$B:$B,0)),"Code not found"))</f>
        <v/>
      </c>
      <c r="D575" s="9"/>
      <c r="E575" s="9"/>
      <c r="F575" s="9"/>
      <c r="G575" s="11"/>
      <c r="H575" s="11"/>
      <c r="I575" s="9"/>
      <c r="J575" s="12"/>
      <c r="K575" s="11"/>
      <c r="L575" s="9"/>
      <c r="N575" s="0" t="str">
        <f aca="false">IF(AND($J575&gt;0,$K575="",$A575&lt;&gt;""),SUMPRODUCT(($J$2:$J$600&gt;0)*($K$2:$K$600="")*($A$2:$A$600&lt;&gt;"")*((IF($G$2:$G$600="",99999999,$G$2:$G$600))&lt;IF($G575="",99999999,$G575)))+SUMPRODUCT(($J$2:$J575&gt;0)*($K$2:$K575="")*($A$2:$A575&lt;&gt;"")*((IF($G$2:$G575="",99999999,$G$2:$G575))=IF($G575="",99999999,$G575))),"")</f>
        <v/>
      </c>
      <c r="O575" s="0" t="str">
        <f aca="false">IF(AND($F575="Not Started",$A575&lt;&gt;""),SUMPRODUCT(($F$2:$F$600="Not Started")*($A$2:$A$600&lt;&gt;"")*((IF($G$2:$G$600="",99999999,$G$2:$G$600))&lt;IF($G575="",99999999,$G575)))+SUMPRODUCT(($F$2:$F575="Not Started")*($A$2:$A575&lt;&gt;"")*((IF($G$2:$G575="",99999999,$G$2:$G575))=IF($G575="",99999999,$G575))),"")</f>
        <v/>
      </c>
      <c r="P575" s="0" t="str">
        <f aca="false">IF(AND(OR($F575="In Progress",$F575="Pending Client Data",$F575="Under Review"),$A575&lt;&gt;""),SUMPRODUCT((($F$2:$F$600="In Progress")+($F$2:$F$600="Pending Client Data")+($F$2:$F$600="Under Review"))*($A$2:$A$600&lt;&gt;"")*((IF($G$2:$G$600="",99999999,$G$2:$G$600))&lt;IF($G575="",99999999,$G575)))+SUMPRODUCT((($F$2:$F575="In Progress")+($F$2:$F575="Pending Client Data")+($F$2:$F575="Under Review"))*($A$2:$A575&lt;&gt;"")*((IF($G$2:$G575="",99999999,$G$2:$G575))=IF($G575="",99999999,$G575))),"")</f>
        <v/>
      </c>
    </row>
    <row r="576" customFormat="false" ht="15" hidden="false" customHeight="false" outlineLevel="0" collapsed="false">
      <c r="A576" s="9"/>
      <c r="B576" s="9"/>
      <c r="C576" s="10" t="str">
        <f aca="false">IF($B576="","",IFERROR(INDEX('Client Master'!$C:$C,MATCH($B576,'Client Master'!$B:$B,0)),"Code not found"))</f>
        <v/>
      </c>
      <c r="D576" s="9"/>
      <c r="E576" s="9"/>
      <c r="F576" s="9"/>
      <c r="G576" s="11"/>
      <c r="H576" s="11"/>
      <c r="I576" s="9"/>
      <c r="J576" s="12"/>
      <c r="K576" s="11"/>
      <c r="L576" s="9"/>
      <c r="N576" s="0" t="str">
        <f aca="false">IF(AND($J576&gt;0,$K576="",$A576&lt;&gt;""),SUMPRODUCT(($J$2:$J$600&gt;0)*($K$2:$K$600="")*($A$2:$A$600&lt;&gt;"")*((IF($G$2:$G$600="",99999999,$G$2:$G$600))&lt;IF($G576="",99999999,$G576)))+SUMPRODUCT(($J$2:$J576&gt;0)*($K$2:$K576="")*($A$2:$A576&lt;&gt;"")*((IF($G$2:$G576="",99999999,$G$2:$G576))=IF($G576="",99999999,$G576))),"")</f>
        <v/>
      </c>
      <c r="O576" s="0" t="str">
        <f aca="false">IF(AND($F576="Not Started",$A576&lt;&gt;""),SUMPRODUCT(($F$2:$F$600="Not Started")*($A$2:$A$600&lt;&gt;"")*((IF($G$2:$G$600="",99999999,$G$2:$G$600))&lt;IF($G576="",99999999,$G576)))+SUMPRODUCT(($F$2:$F576="Not Started")*($A$2:$A576&lt;&gt;"")*((IF($G$2:$G576="",99999999,$G$2:$G576))=IF($G576="",99999999,$G576))),"")</f>
        <v/>
      </c>
      <c r="P576" s="0" t="str">
        <f aca="false">IF(AND(OR($F576="In Progress",$F576="Pending Client Data",$F576="Under Review"),$A576&lt;&gt;""),SUMPRODUCT((($F$2:$F$600="In Progress")+($F$2:$F$600="Pending Client Data")+($F$2:$F$600="Under Review"))*($A$2:$A$600&lt;&gt;"")*((IF($G$2:$G$600="",99999999,$G$2:$G$600))&lt;IF($G576="",99999999,$G576)))+SUMPRODUCT((($F$2:$F576="In Progress")+($F$2:$F576="Pending Client Data")+($F$2:$F576="Under Review"))*($A$2:$A576&lt;&gt;"")*((IF($G$2:$G576="",99999999,$G$2:$G576))=IF($G576="",99999999,$G576))),"")</f>
        <v/>
      </c>
    </row>
    <row r="577" customFormat="false" ht="15" hidden="false" customHeight="false" outlineLevel="0" collapsed="false">
      <c r="A577" s="9"/>
      <c r="B577" s="9"/>
      <c r="C577" s="10" t="str">
        <f aca="false">IF($B577="","",IFERROR(INDEX('Client Master'!$C:$C,MATCH($B577,'Client Master'!$B:$B,0)),"Code not found"))</f>
        <v/>
      </c>
      <c r="D577" s="9"/>
      <c r="E577" s="9"/>
      <c r="F577" s="9"/>
      <c r="G577" s="11"/>
      <c r="H577" s="11"/>
      <c r="I577" s="9"/>
      <c r="J577" s="12"/>
      <c r="K577" s="11"/>
      <c r="L577" s="9"/>
      <c r="N577" s="0" t="str">
        <f aca="false">IF(AND($J577&gt;0,$K577="",$A577&lt;&gt;""),SUMPRODUCT(($J$2:$J$600&gt;0)*($K$2:$K$600="")*($A$2:$A$600&lt;&gt;"")*((IF($G$2:$G$600="",99999999,$G$2:$G$600))&lt;IF($G577="",99999999,$G577)))+SUMPRODUCT(($J$2:$J577&gt;0)*($K$2:$K577="")*($A$2:$A577&lt;&gt;"")*((IF($G$2:$G577="",99999999,$G$2:$G577))=IF($G577="",99999999,$G577))),"")</f>
        <v/>
      </c>
      <c r="O577" s="0" t="str">
        <f aca="false">IF(AND($F577="Not Started",$A577&lt;&gt;""),SUMPRODUCT(($F$2:$F$600="Not Started")*($A$2:$A$600&lt;&gt;"")*((IF($G$2:$G$600="",99999999,$G$2:$G$600))&lt;IF($G577="",99999999,$G577)))+SUMPRODUCT(($F$2:$F577="Not Started")*($A$2:$A577&lt;&gt;"")*((IF($G$2:$G577="",99999999,$G$2:$G577))=IF($G577="",99999999,$G577))),"")</f>
        <v/>
      </c>
      <c r="P577" s="0" t="str">
        <f aca="false">IF(AND(OR($F577="In Progress",$F577="Pending Client Data",$F577="Under Review"),$A577&lt;&gt;""),SUMPRODUCT((($F$2:$F$600="In Progress")+($F$2:$F$600="Pending Client Data")+($F$2:$F$600="Under Review"))*($A$2:$A$600&lt;&gt;"")*((IF($G$2:$G$600="",99999999,$G$2:$G$600))&lt;IF($G577="",99999999,$G577)))+SUMPRODUCT((($F$2:$F577="In Progress")+($F$2:$F577="Pending Client Data")+($F$2:$F577="Under Review"))*($A$2:$A577&lt;&gt;"")*((IF($G$2:$G577="",99999999,$G$2:$G577))=IF($G577="",99999999,$G577))),"")</f>
        <v/>
      </c>
    </row>
    <row r="578" customFormat="false" ht="15" hidden="false" customHeight="false" outlineLevel="0" collapsed="false">
      <c r="A578" s="9"/>
      <c r="B578" s="9"/>
      <c r="C578" s="10" t="str">
        <f aca="false">IF($B578="","",IFERROR(INDEX('Client Master'!$C:$C,MATCH($B578,'Client Master'!$B:$B,0)),"Code not found"))</f>
        <v/>
      </c>
      <c r="D578" s="9"/>
      <c r="E578" s="9"/>
      <c r="F578" s="9"/>
      <c r="G578" s="11"/>
      <c r="H578" s="11"/>
      <c r="I578" s="9"/>
      <c r="J578" s="12"/>
      <c r="K578" s="11"/>
      <c r="L578" s="9"/>
      <c r="N578" s="0" t="str">
        <f aca="false">IF(AND($J578&gt;0,$K578="",$A578&lt;&gt;""),SUMPRODUCT(($J$2:$J$600&gt;0)*($K$2:$K$600="")*($A$2:$A$600&lt;&gt;"")*((IF($G$2:$G$600="",99999999,$G$2:$G$600))&lt;IF($G578="",99999999,$G578)))+SUMPRODUCT(($J$2:$J578&gt;0)*($K$2:$K578="")*($A$2:$A578&lt;&gt;"")*((IF($G$2:$G578="",99999999,$G$2:$G578))=IF($G578="",99999999,$G578))),"")</f>
        <v/>
      </c>
      <c r="O578" s="0" t="str">
        <f aca="false">IF(AND($F578="Not Started",$A578&lt;&gt;""),SUMPRODUCT(($F$2:$F$600="Not Started")*($A$2:$A$600&lt;&gt;"")*((IF($G$2:$G$600="",99999999,$G$2:$G$600))&lt;IF($G578="",99999999,$G578)))+SUMPRODUCT(($F$2:$F578="Not Started")*($A$2:$A578&lt;&gt;"")*((IF($G$2:$G578="",99999999,$G$2:$G578))=IF($G578="",99999999,$G578))),"")</f>
        <v/>
      </c>
      <c r="P578" s="0" t="str">
        <f aca="false">IF(AND(OR($F578="In Progress",$F578="Pending Client Data",$F578="Under Review"),$A578&lt;&gt;""),SUMPRODUCT((($F$2:$F$600="In Progress")+($F$2:$F$600="Pending Client Data")+($F$2:$F$600="Under Review"))*($A$2:$A$600&lt;&gt;"")*((IF($G$2:$G$600="",99999999,$G$2:$G$600))&lt;IF($G578="",99999999,$G578)))+SUMPRODUCT((($F$2:$F578="In Progress")+($F$2:$F578="Pending Client Data")+($F$2:$F578="Under Review"))*($A$2:$A578&lt;&gt;"")*((IF($G$2:$G578="",99999999,$G$2:$G578))=IF($G578="",99999999,$G578))),"")</f>
        <v/>
      </c>
    </row>
    <row r="579" customFormat="false" ht="15" hidden="false" customHeight="false" outlineLevel="0" collapsed="false">
      <c r="A579" s="9"/>
      <c r="B579" s="9"/>
      <c r="C579" s="10" t="str">
        <f aca="false">IF($B579="","",IFERROR(INDEX('Client Master'!$C:$C,MATCH($B579,'Client Master'!$B:$B,0)),"Code not found"))</f>
        <v/>
      </c>
      <c r="D579" s="9"/>
      <c r="E579" s="9"/>
      <c r="F579" s="9"/>
      <c r="G579" s="11"/>
      <c r="H579" s="11"/>
      <c r="I579" s="9"/>
      <c r="J579" s="12"/>
      <c r="K579" s="11"/>
      <c r="L579" s="9"/>
      <c r="N579" s="0" t="str">
        <f aca="false">IF(AND($J579&gt;0,$K579="",$A579&lt;&gt;""),SUMPRODUCT(($J$2:$J$600&gt;0)*($K$2:$K$600="")*($A$2:$A$600&lt;&gt;"")*((IF($G$2:$G$600="",99999999,$G$2:$G$600))&lt;IF($G579="",99999999,$G579)))+SUMPRODUCT(($J$2:$J579&gt;0)*($K$2:$K579="")*($A$2:$A579&lt;&gt;"")*((IF($G$2:$G579="",99999999,$G$2:$G579))=IF($G579="",99999999,$G579))),"")</f>
        <v/>
      </c>
      <c r="O579" s="0" t="str">
        <f aca="false">IF(AND($F579="Not Started",$A579&lt;&gt;""),SUMPRODUCT(($F$2:$F$600="Not Started")*($A$2:$A$600&lt;&gt;"")*((IF($G$2:$G$600="",99999999,$G$2:$G$600))&lt;IF($G579="",99999999,$G579)))+SUMPRODUCT(($F$2:$F579="Not Started")*($A$2:$A579&lt;&gt;"")*((IF($G$2:$G579="",99999999,$G$2:$G579))=IF($G579="",99999999,$G579))),"")</f>
        <v/>
      </c>
      <c r="P579" s="0" t="str">
        <f aca="false">IF(AND(OR($F579="In Progress",$F579="Pending Client Data",$F579="Under Review"),$A579&lt;&gt;""),SUMPRODUCT((($F$2:$F$600="In Progress")+($F$2:$F$600="Pending Client Data")+($F$2:$F$600="Under Review"))*($A$2:$A$600&lt;&gt;"")*((IF($G$2:$G$600="",99999999,$G$2:$G$600))&lt;IF($G579="",99999999,$G579)))+SUMPRODUCT((($F$2:$F579="In Progress")+($F$2:$F579="Pending Client Data")+($F$2:$F579="Under Review"))*($A$2:$A579&lt;&gt;"")*((IF($G$2:$G579="",99999999,$G$2:$G579))=IF($G579="",99999999,$G579))),"")</f>
        <v/>
      </c>
    </row>
    <row r="580" customFormat="false" ht="15" hidden="false" customHeight="false" outlineLevel="0" collapsed="false">
      <c r="A580" s="9"/>
      <c r="B580" s="9"/>
      <c r="C580" s="10" t="str">
        <f aca="false">IF($B580="","",IFERROR(INDEX('Client Master'!$C:$C,MATCH($B580,'Client Master'!$B:$B,0)),"Code not found"))</f>
        <v/>
      </c>
      <c r="D580" s="9"/>
      <c r="E580" s="9"/>
      <c r="F580" s="9"/>
      <c r="G580" s="11"/>
      <c r="H580" s="11"/>
      <c r="I580" s="9"/>
      <c r="J580" s="12"/>
      <c r="K580" s="11"/>
      <c r="L580" s="9"/>
      <c r="N580" s="0" t="str">
        <f aca="false">IF(AND($J580&gt;0,$K580="",$A580&lt;&gt;""),SUMPRODUCT(($J$2:$J$600&gt;0)*($K$2:$K$600="")*($A$2:$A$600&lt;&gt;"")*((IF($G$2:$G$600="",99999999,$G$2:$G$600))&lt;IF($G580="",99999999,$G580)))+SUMPRODUCT(($J$2:$J580&gt;0)*($K$2:$K580="")*($A$2:$A580&lt;&gt;"")*((IF($G$2:$G580="",99999999,$G$2:$G580))=IF($G580="",99999999,$G580))),"")</f>
        <v/>
      </c>
      <c r="O580" s="0" t="str">
        <f aca="false">IF(AND($F580="Not Started",$A580&lt;&gt;""),SUMPRODUCT(($F$2:$F$600="Not Started")*($A$2:$A$600&lt;&gt;"")*((IF($G$2:$G$600="",99999999,$G$2:$G$600))&lt;IF($G580="",99999999,$G580)))+SUMPRODUCT(($F$2:$F580="Not Started")*($A$2:$A580&lt;&gt;"")*((IF($G$2:$G580="",99999999,$G$2:$G580))=IF($G580="",99999999,$G580))),"")</f>
        <v/>
      </c>
      <c r="P580" s="0" t="str">
        <f aca="false">IF(AND(OR($F580="In Progress",$F580="Pending Client Data",$F580="Under Review"),$A580&lt;&gt;""),SUMPRODUCT((($F$2:$F$600="In Progress")+($F$2:$F$600="Pending Client Data")+($F$2:$F$600="Under Review"))*($A$2:$A$600&lt;&gt;"")*((IF($G$2:$G$600="",99999999,$G$2:$G$600))&lt;IF($G580="",99999999,$G580)))+SUMPRODUCT((($F$2:$F580="In Progress")+($F$2:$F580="Pending Client Data")+($F$2:$F580="Under Review"))*($A$2:$A580&lt;&gt;"")*((IF($G$2:$G580="",99999999,$G$2:$G580))=IF($G580="",99999999,$G580))),"")</f>
        <v/>
      </c>
    </row>
    <row r="581" customFormat="false" ht="15" hidden="false" customHeight="false" outlineLevel="0" collapsed="false">
      <c r="A581" s="9"/>
      <c r="B581" s="9"/>
      <c r="C581" s="10" t="str">
        <f aca="false">IF($B581="","",IFERROR(INDEX('Client Master'!$C:$C,MATCH($B581,'Client Master'!$B:$B,0)),"Code not found"))</f>
        <v/>
      </c>
      <c r="D581" s="9"/>
      <c r="E581" s="9"/>
      <c r="F581" s="9"/>
      <c r="G581" s="11"/>
      <c r="H581" s="11"/>
      <c r="I581" s="9"/>
      <c r="J581" s="12"/>
      <c r="K581" s="11"/>
      <c r="L581" s="9"/>
      <c r="N581" s="0" t="str">
        <f aca="false">IF(AND($J581&gt;0,$K581="",$A581&lt;&gt;""),SUMPRODUCT(($J$2:$J$600&gt;0)*($K$2:$K$600="")*($A$2:$A$600&lt;&gt;"")*((IF($G$2:$G$600="",99999999,$G$2:$G$600))&lt;IF($G581="",99999999,$G581)))+SUMPRODUCT(($J$2:$J581&gt;0)*($K$2:$K581="")*($A$2:$A581&lt;&gt;"")*((IF($G$2:$G581="",99999999,$G$2:$G581))=IF($G581="",99999999,$G581))),"")</f>
        <v/>
      </c>
      <c r="O581" s="0" t="str">
        <f aca="false">IF(AND($F581="Not Started",$A581&lt;&gt;""),SUMPRODUCT(($F$2:$F$600="Not Started")*($A$2:$A$600&lt;&gt;"")*((IF($G$2:$G$600="",99999999,$G$2:$G$600))&lt;IF($G581="",99999999,$G581)))+SUMPRODUCT(($F$2:$F581="Not Started")*($A$2:$A581&lt;&gt;"")*((IF($G$2:$G581="",99999999,$G$2:$G581))=IF($G581="",99999999,$G581))),"")</f>
        <v/>
      </c>
      <c r="P581" s="0" t="str">
        <f aca="false">IF(AND(OR($F581="In Progress",$F581="Pending Client Data",$F581="Under Review"),$A581&lt;&gt;""),SUMPRODUCT((($F$2:$F$600="In Progress")+($F$2:$F$600="Pending Client Data")+($F$2:$F$600="Under Review"))*($A$2:$A$600&lt;&gt;"")*((IF($G$2:$G$600="",99999999,$G$2:$G$600))&lt;IF($G581="",99999999,$G581)))+SUMPRODUCT((($F$2:$F581="In Progress")+($F$2:$F581="Pending Client Data")+($F$2:$F581="Under Review"))*($A$2:$A581&lt;&gt;"")*((IF($G$2:$G581="",99999999,$G$2:$G581))=IF($G581="",99999999,$G581))),"")</f>
        <v/>
      </c>
    </row>
    <row r="582" customFormat="false" ht="15" hidden="false" customHeight="false" outlineLevel="0" collapsed="false">
      <c r="A582" s="9"/>
      <c r="B582" s="9"/>
      <c r="C582" s="10" t="str">
        <f aca="false">IF($B582="","",IFERROR(INDEX('Client Master'!$C:$C,MATCH($B582,'Client Master'!$B:$B,0)),"Code not found"))</f>
        <v/>
      </c>
      <c r="D582" s="9"/>
      <c r="E582" s="9"/>
      <c r="F582" s="9"/>
      <c r="G582" s="11"/>
      <c r="H582" s="11"/>
      <c r="I582" s="9"/>
      <c r="J582" s="12"/>
      <c r="K582" s="11"/>
      <c r="L582" s="9"/>
      <c r="N582" s="0" t="str">
        <f aca="false">IF(AND($J582&gt;0,$K582="",$A582&lt;&gt;""),SUMPRODUCT(($J$2:$J$600&gt;0)*($K$2:$K$600="")*($A$2:$A$600&lt;&gt;"")*((IF($G$2:$G$600="",99999999,$G$2:$G$600))&lt;IF($G582="",99999999,$G582)))+SUMPRODUCT(($J$2:$J582&gt;0)*($K$2:$K582="")*($A$2:$A582&lt;&gt;"")*((IF($G$2:$G582="",99999999,$G$2:$G582))=IF($G582="",99999999,$G582))),"")</f>
        <v/>
      </c>
      <c r="O582" s="0" t="str">
        <f aca="false">IF(AND($F582="Not Started",$A582&lt;&gt;""),SUMPRODUCT(($F$2:$F$600="Not Started")*($A$2:$A$600&lt;&gt;"")*((IF($G$2:$G$600="",99999999,$G$2:$G$600))&lt;IF($G582="",99999999,$G582)))+SUMPRODUCT(($F$2:$F582="Not Started")*($A$2:$A582&lt;&gt;"")*((IF($G$2:$G582="",99999999,$G$2:$G582))=IF($G582="",99999999,$G582))),"")</f>
        <v/>
      </c>
      <c r="P582" s="0" t="str">
        <f aca="false">IF(AND(OR($F582="In Progress",$F582="Pending Client Data",$F582="Under Review"),$A582&lt;&gt;""),SUMPRODUCT((($F$2:$F$600="In Progress")+($F$2:$F$600="Pending Client Data")+($F$2:$F$600="Under Review"))*($A$2:$A$600&lt;&gt;"")*((IF($G$2:$G$600="",99999999,$G$2:$G$600))&lt;IF($G582="",99999999,$G582)))+SUMPRODUCT((($F$2:$F582="In Progress")+($F$2:$F582="Pending Client Data")+($F$2:$F582="Under Review"))*($A$2:$A582&lt;&gt;"")*((IF($G$2:$G582="",99999999,$G$2:$G582))=IF($G582="",99999999,$G582))),"")</f>
        <v/>
      </c>
    </row>
    <row r="583" customFormat="false" ht="15" hidden="false" customHeight="false" outlineLevel="0" collapsed="false">
      <c r="A583" s="9"/>
      <c r="B583" s="9"/>
      <c r="C583" s="10" t="str">
        <f aca="false">IF($B583="","",IFERROR(INDEX('Client Master'!$C:$C,MATCH($B583,'Client Master'!$B:$B,0)),"Code not found"))</f>
        <v/>
      </c>
      <c r="D583" s="9"/>
      <c r="E583" s="9"/>
      <c r="F583" s="9"/>
      <c r="G583" s="11"/>
      <c r="H583" s="11"/>
      <c r="I583" s="9"/>
      <c r="J583" s="12"/>
      <c r="K583" s="11"/>
      <c r="L583" s="9"/>
      <c r="N583" s="0" t="str">
        <f aca="false">IF(AND($J583&gt;0,$K583="",$A583&lt;&gt;""),SUMPRODUCT(($J$2:$J$600&gt;0)*($K$2:$K$600="")*($A$2:$A$600&lt;&gt;"")*((IF($G$2:$G$600="",99999999,$G$2:$G$600))&lt;IF($G583="",99999999,$G583)))+SUMPRODUCT(($J$2:$J583&gt;0)*($K$2:$K583="")*($A$2:$A583&lt;&gt;"")*((IF($G$2:$G583="",99999999,$G$2:$G583))=IF($G583="",99999999,$G583))),"")</f>
        <v/>
      </c>
      <c r="O583" s="0" t="str">
        <f aca="false">IF(AND($F583="Not Started",$A583&lt;&gt;""),SUMPRODUCT(($F$2:$F$600="Not Started")*($A$2:$A$600&lt;&gt;"")*((IF($G$2:$G$600="",99999999,$G$2:$G$600))&lt;IF($G583="",99999999,$G583)))+SUMPRODUCT(($F$2:$F583="Not Started")*($A$2:$A583&lt;&gt;"")*((IF($G$2:$G583="",99999999,$G$2:$G583))=IF($G583="",99999999,$G583))),"")</f>
        <v/>
      </c>
      <c r="P583" s="0" t="str">
        <f aca="false">IF(AND(OR($F583="In Progress",$F583="Pending Client Data",$F583="Under Review"),$A583&lt;&gt;""),SUMPRODUCT((($F$2:$F$600="In Progress")+($F$2:$F$600="Pending Client Data")+($F$2:$F$600="Under Review"))*($A$2:$A$600&lt;&gt;"")*((IF($G$2:$G$600="",99999999,$G$2:$G$600))&lt;IF($G583="",99999999,$G583)))+SUMPRODUCT((($F$2:$F583="In Progress")+($F$2:$F583="Pending Client Data")+($F$2:$F583="Under Review"))*($A$2:$A583&lt;&gt;"")*((IF($G$2:$G583="",99999999,$G$2:$G583))=IF($G583="",99999999,$G583))),"")</f>
        <v/>
      </c>
    </row>
    <row r="584" customFormat="false" ht="15" hidden="false" customHeight="false" outlineLevel="0" collapsed="false">
      <c r="A584" s="9"/>
      <c r="B584" s="9"/>
      <c r="C584" s="10" t="str">
        <f aca="false">IF($B584="","",IFERROR(INDEX('Client Master'!$C:$C,MATCH($B584,'Client Master'!$B:$B,0)),"Code not found"))</f>
        <v/>
      </c>
      <c r="D584" s="9"/>
      <c r="E584" s="9"/>
      <c r="F584" s="9"/>
      <c r="G584" s="11"/>
      <c r="H584" s="11"/>
      <c r="I584" s="9"/>
      <c r="J584" s="12"/>
      <c r="K584" s="11"/>
      <c r="L584" s="9"/>
      <c r="N584" s="0" t="str">
        <f aca="false">IF(AND($J584&gt;0,$K584="",$A584&lt;&gt;""),SUMPRODUCT(($J$2:$J$600&gt;0)*($K$2:$K$600="")*($A$2:$A$600&lt;&gt;"")*((IF($G$2:$G$600="",99999999,$G$2:$G$600))&lt;IF($G584="",99999999,$G584)))+SUMPRODUCT(($J$2:$J584&gt;0)*($K$2:$K584="")*($A$2:$A584&lt;&gt;"")*((IF($G$2:$G584="",99999999,$G$2:$G584))=IF($G584="",99999999,$G584))),"")</f>
        <v/>
      </c>
      <c r="O584" s="0" t="str">
        <f aca="false">IF(AND($F584="Not Started",$A584&lt;&gt;""),SUMPRODUCT(($F$2:$F$600="Not Started")*($A$2:$A$600&lt;&gt;"")*((IF($G$2:$G$600="",99999999,$G$2:$G$600))&lt;IF($G584="",99999999,$G584)))+SUMPRODUCT(($F$2:$F584="Not Started")*($A$2:$A584&lt;&gt;"")*((IF($G$2:$G584="",99999999,$G$2:$G584))=IF($G584="",99999999,$G584))),"")</f>
        <v/>
      </c>
      <c r="P584" s="0" t="str">
        <f aca="false">IF(AND(OR($F584="In Progress",$F584="Pending Client Data",$F584="Under Review"),$A584&lt;&gt;""),SUMPRODUCT((($F$2:$F$600="In Progress")+($F$2:$F$600="Pending Client Data")+($F$2:$F$600="Under Review"))*($A$2:$A$600&lt;&gt;"")*((IF($G$2:$G$600="",99999999,$G$2:$G$600))&lt;IF($G584="",99999999,$G584)))+SUMPRODUCT((($F$2:$F584="In Progress")+($F$2:$F584="Pending Client Data")+($F$2:$F584="Under Review"))*($A$2:$A584&lt;&gt;"")*((IF($G$2:$G584="",99999999,$G$2:$G584))=IF($G584="",99999999,$G584))),"")</f>
        <v/>
      </c>
    </row>
    <row r="585" customFormat="false" ht="15" hidden="false" customHeight="false" outlineLevel="0" collapsed="false">
      <c r="A585" s="9"/>
      <c r="B585" s="9"/>
      <c r="C585" s="10" t="str">
        <f aca="false">IF($B585="","",IFERROR(INDEX('Client Master'!$C:$C,MATCH($B585,'Client Master'!$B:$B,0)),"Code not found"))</f>
        <v/>
      </c>
      <c r="D585" s="9"/>
      <c r="E585" s="9"/>
      <c r="F585" s="9"/>
      <c r="G585" s="11"/>
      <c r="H585" s="11"/>
      <c r="I585" s="9"/>
      <c r="J585" s="12"/>
      <c r="K585" s="11"/>
      <c r="L585" s="9"/>
      <c r="N585" s="0" t="str">
        <f aca="false">IF(AND($J585&gt;0,$K585="",$A585&lt;&gt;""),SUMPRODUCT(($J$2:$J$600&gt;0)*($K$2:$K$600="")*($A$2:$A$600&lt;&gt;"")*((IF($G$2:$G$600="",99999999,$G$2:$G$600))&lt;IF($G585="",99999999,$G585)))+SUMPRODUCT(($J$2:$J585&gt;0)*($K$2:$K585="")*($A$2:$A585&lt;&gt;"")*((IF($G$2:$G585="",99999999,$G$2:$G585))=IF($G585="",99999999,$G585))),"")</f>
        <v/>
      </c>
      <c r="O585" s="0" t="str">
        <f aca="false">IF(AND($F585="Not Started",$A585&lt;&gt;""),SUMPRODUCT(($F$2:$F$600="Not Started")*($A$2:$A$600&lt;&gt;"")*((IF($G$2:$G$600="",99999999,$G$2:$G$600))&lt;IF($G585="",99999999,$G585)))+SUMPRODUCT(($F$2:$F585="Not Started")*($A$2:$A585&lt;&gt;"")*((IF($G$2:$G585="",99999999,$G$2:$G585))=IF($G585="",99999999,$G585))),"")</f>
        <v/>
      </c>
      <c r="P585" s="0" t="str">
        <f aca="false">IF(AND(OR($F585="In Progress",$F585="Pending Client Data",$F585="Under Review"),$A585&lt;&gt;""),SUMPRODUCT((($F$2:$F$600="In Progress")+($F$2:$F$600="Pending Client Data")+($F$2:$F$600="Under Review"))*($A$2:$A$600&lt;&gt;"")*((IF($G$2:$G$600="",99999999,$G$2:$G$600))&lt;IF($G585="",99999999,$G585)))+SUMPRODUCT((($F$2:$F585="In Progress")+($F$2:$F585="Pending Client Data")+($F$2:$F585="Under Review"))*($A$2:$A585&lt;&gt;"")*((IF($G$2:$G585="",99999999,$G$2:$G585))=IF($G585="",99999999,$G585))),"")</f>
        <v/>
      </c>
    </row>
    <row r="586" customFormat="false" ht="15" hidden="false" customHeight="false" outlineLevel="0" collapsed="false">
      <c r="A586" s="9"/>
      <c r="B586" s="9"/>
      <c r="C586" s="10" t="str">
        <f aca="false">IF($B586="","",IFERROR(INDEX('Client Master'!$C:$C,MATCH($B586,'Client Master'!$B:$B,0)),"Code not found"))</f>
        <v/>
      </c>
      <c r="D586" s="9"/>
      <c r="E586" s="9"/>
      <c r="F586" s="9"/>
      <c r="G586" s="11"/>
      <c r="H586" s="11"/>
      <c r="I586" s="9"/>
      <c r="J586" s="12"/>
      <c r="K586" s="11"/>
      <c r="L586" s="9"/>
      <c r="N586" s="0" t="str">
        <f aca="false">IF(AND($J586&gt;0,$K586="",$A586&lt;&gt;""),SUMPRODUCT(($J$2:$J$600&gt;0)*($K$2:$K$600="")*($A$2:$A$600&lt;&gt;"")*((IF($G$2:$G$600="",99999999,$G$2:$G$600))&lt;IF($G586="",99999999,$G586)))+SUMPRODUCT(($J$2:$J586&gt;0)*($K$2:$K586="")*($A$2:$A586&lt;&gt;"")*((IF($G$2:$G586="",99999999,$G$2:$G586))=IF($G586="",99999999,$G586))),"")</f>
        <v/>
      </c>
      <c r="O586" s="0" t="str">
        <f aca="false">IF(AND($F586="Not Started",$A586&lt;&gt;""),SUMPRODUCT(($F$2:$F$600="Not Started")*($A$2:$A$600&lt;&gt;"")*((IF($G$2:$G$600="",99999999,$G$2:$G$600))&lt;IF($G586="",99999999,$G586)))+SUMPRODUCT(($F$2:$F586="Not Started")*($A$2:$A586&lt;&gt;"")*((IF($G$2:$G586="",99999999,$G$2:$G586))=IF($G586="",99999999,$G586))),"")</f>
        <v/>
      </c>
      <c r="P586" s="0" t="str">
        <f aca="false">IF(AND(OR($F586="In Progress",$F586="Pending Client Data",$F586="Under Review"),$A586&lt;&gt;""),SUMPRODUCT((($F$2:$F$600="In Progress")+($F$2:$F$600="Pending Client Data")+($F$2:$F$600="Under Review"))*($A$2:$A$600&lt;&gt;"")*((IF($G$2:$G$600="",99999999,$G$2:$G$600))&lt;IF($G586="",99999999,$G586)))+SUMPRODUCT((($F$2:$F586="In Progress")+($F$2:$F586="Pending Client Data")+($F$2:$F586="Under Review"))*($A$2:$A586&lt;&gt;"")*((IF($G$2:$G586="",99999999,$G$2:$G586))=IF($G586="",99999999,$G586))),"")</f>
        <v/>
      </c>
    </row>
    <row r="587" customFormat="false" ht="15" hidden="false" customHeight="false" outlineLevel="0" collapsed="false">
      <c r="A587" s="9"/>
      <c r="B587" s="9"/>
      <c r="C587" s="10" t="str">
        <f aca="false">IF($B587="","",IFERROR(INDEX('Client Master'!$C:$C,MATCH($B587,'Client Master'!$B:$B,0)),"Code not found"))</f>
        <v/>
      </c>
      <c r="D587" s="9"/>
      <c r="E587" s="9"/>
      <c r="F587" s="9"/>
      <c r="G587" s="11"/>
      <c r="H587" s="11"/>
      <c r="I587" s="9"/>
      <c r="J587" s="12"/>
      <c r="K587" s="11"/>
      <c r="L587" s="9"/>
      <c r="N587" s="0" t="str">
        <f aca="false">IF(AND($J587&gt;0,$K587="",$A587&lt;&gt;""),SUMPRODUCT(($J$2:$J$600&gt;0)*($K$2:$K$600="")*($A$2:$A$600&lt;&gt;"")*((IF($G$2:$G$600="",99999999,$G$2:$G$600))&lt;IF($G587="",99999999,$G587)))+SUMPRODUCT(($J$2:$J587&gt;0)*($K$2:$K587="")*($A$2:$A587&lt;&gt;"")*((IF($G$2:$G587="",99999999,$G$2:$G587))=IF($G587="",99999999,$G587))),"")</f>
        <v/>
      </c>
      <c r="O587" s="0" t="str">
        <f aca="false">IF(AND($F587="Not Started",$A587&lt;&gt;""),SUMPRODUCT(($F$2:$F$600="Not Started")*($A$2:$A$600&lt;&gt;"")*((IF($G$2:$G$600="",99999999,$G$2:$G$600))&lt;IF($G587="",99999999,$G587)))+SUMPRODUCT(($F$2:$F587="Not Started")*($A$2:$A587&lt;&gt;"")*((IF($G$2:$G587="",99999999,$G$2:$G587))=IF($G587="",99999999,$G587))),"")</f>
        <v/>
      </c>
      <c r="P587" s="0" t="str">
        <f aca="false">IF(AND(OR($F587="In Progress",$F587="Pending Client Data",$F587="Under Review"),$A587&lt;&gt;""),SUMPRODUCT((($F$2:$F$600="In Progress")+($F$2:$F$600="Pending Client Data")+($F$2:$F$600="Under Review"))*($A$2:$A$600&lt;&gt;"")*((IF($G$2:$G$600="",99999999,$G$2:$G$600))&lt;IF($G587="",99999999,$G587)))+SUMPRODUCT((($F$2:$F587="In Progress")+($F$2:$F587="Pending Client Data")+($F$2:$F587="Under Review"))*($A$2:$A587&lt;&gt;"")*((IF($G$2:$G587="",99999999,$G$2:$G587))=IF($G587="",99999999,$G587))),"")</f>
        <v/>
      </c>
    </row>
    <row r="588" customFormat="false" ht="15" hidden="false" customHeight="false" outlineLevel="0" collapsed="false">
      <c r="A588" s="9"/>
      <c r="B588" s="9"/>
      <c r="C588" s="10" t="str">
        <f aca="false">IF($B588="","",IFERROR(INDEX('Client Master'!$C:$C,MATCH($B588,'Client Master'!$B:$B,0)),"Code not found"))</f>
        <v/>
      </c>
      <c r="D588" s="9"/>
      <c r="E588" s="9"/>
      <c r="F588" s="9"/>
      <c r="G588" s="11"/>
      <c r="H588" s="11"/>
      <c r="I588" s="9"/>
      <c r="J588" s="12"/>
      <c r="K588" s="11"/>
      <c r="L588" s="9"/>
      <c r="N588" s="0" t="str">
        <f aca="false">IF(AND($J588&gt;0,$K588="",$A588&lt;&gt;""),SUMPRODUCT(($J$2:$J$600&gt;0)*($K$2:$K$600="")*($A$2:$A$600&lt;&gt;"")*((IF($G$2:$G$600="",99999999,$G$2:$G$600))&lt;IF($G588="",99999999,$G588)))+SUMPRODUCT(($J$2:$J588&gt;0)*($K$2:$K588="")*($A$2:$A588&lt;&gt;"")*((IF($G$2:$G588="",99999999,$G$2:$G588))=IF($G588="",99999999,$G588))),"")</f>
        <v/>
      </c>
      <c r="O588" s="0" t="str">
        <f aca="false">IF(AND($F588="Not Started",$A588&lt;&gt;""),SUMPRODUCT(($F$2:$F$600="Not Started")*($A$2:$A$600&lt;&gt;"")*((IF($G$2:$G$600="",99999999,$G$2:$G$600))&lt;IF($G588="",99999999,$G588)))+SUMPRODUCT(($F$2:$F588="Not Started")*($A$2:$A588&lt;&gt;"")*((IF($G$2:$G588="",99999999,$G$2:$G588))=IF($G588="",99999999,$G588))),"")</f>
        <v/>
      </c>
      <c r="P588" s="0" t="str">
        <f aca="false">IF(AND(OR($F588="In Progress",$F588="Pending Client Data",$F588="Under Review"),$A588&lt;&gt;""),SUMPRODUCT((($F$2:$F$600="In Progress")+($F$2:$F$600="Pending Client Data")+($F$2:$F$600="Under Review"))*($A$2:$A$600&lt;&gt;"")*((IF($G$2:$G$600="",99999999,$G$2:$G$600))&lt;IF($G588="",99999999,$G588)))+SUMPRODUCT((($F$2:$F588="In Progress")+($F$2:$F588="Pending Client Data")+($F$2:$F588="Under Review"))*($A$2:$A588&lt;&gt;"")*((IF($G$2:$G588="",99999999,$G$2:$G588))=IF($G588="",99999999,$G588))),"")</f>
        <v/>
      </c>
    </row>
    <row r="589" customFormat="false" ht="15" hidden="false" customHeight="false" outlineLevel="0" collapsed="false">
      <c r="A589" s="9"/>
      <c r="B589" s="9"/>
      <c r="C589" s="10" t="str">
        <f aca="false">IF($B589="","",IFERROR(INDEX('Client Master'!$C:$C,MATCH($B589,'Client Master'!$B:$B,0)),"Code not found"))</f>
        <v/>
      </c>
      <c r="D589" s="9"/>
      <c r="E589" s="9"/>
      <c r="F589" s="9"/>
      <c r="G589" s="11"/>
      <c r="H589" s="11"/>
      <c r="I589" s="9"/>
      <c r="J589" s="12"/>
      <c r="K589" s="11"/>
      <c r="L589" s="9"/>
      <c r="N589" s="0" t="str">
        <f aca="false">IF(AND($J589&gt;0,$K589="",$A589&lt;&gt;""),SUMPRODUCT(($J$2:$J$600&gt;0)*($K$2:$K$600="")*($A$2:$A$600&lt;&gt;"")*((IF($G$2:$G$600="",99999999,$G$2:$G$600))&lt;IF($G589="",99999999,$G589)))+SUMPRODUCT(($J$2:$J589&gt;0)*($K$2:$K589="")*($A$2:$A589&lt;&gt;"")*((IF($G$2:$G589="",99999999,$G$2:$G589))=IF($G589="",99999999,$G589))),"")</f>
        <v/>
      </c>
      <c r="O589" s="0" t="str">
        <f aca="false">IF(AND($F589="Not Started",$A589&lt;&gt;""),SUMPRODUCT(($F$2:$F$600="Not Started")*($A$2:$A$600&lt;&gt;"")*((IF($G$2:$G$600="",99999999,$G$2:$G$600))&lt;IF($G589="",99999999,$G589)))+SUMPRODUCT(($F$2:$F589="Not Started")*($A$2:$A589&lt;&gt;"")*((IF($G$2:$G589="",99999999,$G$2:$G589))=IF($G589="",99999999,$G589))),"")</f>
        <v/>
      </c>
      <c r="P589" s="0" t="str">
        <f aca="false">IF(AND(OR($F589="In Progress",$F589="Pending Client Data",$F589="Under Review"),$A589&lt;&gt;""),SUMPRODUCT((($F$2:$F$600="In Progress")+($F$2:$F$600="Pending Client Data")+($F$2:$F$600="Under Review"))*($A$2:$A$600&lt;&gt;"")*((IF($G$2:$G$600="",99999999,$G$2:$G$600))&lt;IF($G589="",99999999,$G589)))+SUMPRODUCT((($F$2:$F589="In Progress")+($F$2:$F589="Pending Client Data")+($F$2:$F589="Under Review"))*($A$2:$A589&lt;&gt;"")*((IF($G$2:$G589="",99999999,$G$2:$G589))=IF($G589="",99999999,$G589))),"")</f>
        <v/>
      </c>
    </row>
    <row r="590" customFormat="false" ht="15" hidden="false" customHeight="false" outlineLevel="0" collapsed="false">
      <c r="A590" s="9"/>
      <c r="B590" s="9"/>
      <c r="C590" s="10" t="str">
        <f aca="false">IF($B590="","",IFERROR(INDEX('Client Master'!$C:$C,MATCH($B590,'Client Master'!$B:$B,0)),"Code not found"))</f>
        <v/>
      </c>
      <c r="D590" s="9"/>
      <c r="E590" s="9"/>
      <c r="F590" s="9"/>
      <c r="G590" s="11"/>
      <c r="H590" s="11"/>
      <c r="I590" s="9"/>
      <c r="J590" s="12"/>
      <c r="K590" s="11"/>
      <c r="L590" s="9"/>
      <c r="N590" s="0" t="str">
        <f aca="false">IF(AND($J590&gt;0,$K590="",$A590&lt;&gt;""),SUMPRODUCT(($J$2:$J$600&gt;0)*($K$2:$K$600="")*($A$2:$A$600&lt;&gt;"")*((IF($G$2:$G$600="",99999999,$G$2:$G$600))&lt;IF($G590="",99999999,$G590)))+SUMPRODUCT(($J$2:$J590&gt;0)*($K$2:$K590="")*($A$2:$A590&lt;&gt;"")*((IF($G$2:$G590="",99999999,$G$2:$G590))=IF($G590="",99999999,$G590))),"")</f>
        <v/>
      </c>
      <c r="O590" s="0" t="str">
        <f aca="false">IF(AND($F590="Not Started",$A590&lt;&gt;""),SUMPRODUCT(($F$2:$F$600="Not Started")*($A$2:$A$600&lt;&gt;"")*((IF($G$2:$G$600="",99999999,$G$2:$G$600))&lt;IF($G590="",99999999,$G590)))+SUMPRODUCT(($F$2:$F590="Not Started")*($A$2:$A590&lt;&gt;"")*((IF($G$2:$G590="",99999999,$G$2:$G590))=IF($G590="",99999999,$G590))),"")</f>
        <v/>
      </c>
      <c r="P590" s="0" t="str">
        <f aca="false">IF(AND(OR($F590="In Progress",$F590="Pending Client Data",$F590="Under Review"),$A590&lt;&gt;""),SUMPRODUCT((($F$2:$F$600="In Progress")+($F$2:$F$600="Pending Client Data")+($F$2:$F$600="Under Review"))*($A$2:$A$600&lt;&gt;"")*((IF($G$2:$G$600="",99999999,$G$2:$G$600))&lt;IF($G590="",99999999,$G590)))+SUMPRODUCT((($F$2:$F590="In Progress")+($F$2:$F590="Pending Client Data")+($F$2:$F590="Under Review"))*($A$2:$A590&lt;&gt;"")*((IF($G$2:$G590="",99999999,$G$2:$G590))=IF($G590="",99999999,$G590))),"")</f>
        <v/>
      </c>
    </row>
    <row r="591" customFormat="false" ht="15" hidden="false" customHeight="false" outlineLevel="0" collapsed="false">
      <c r="A591" s="9"/>
      <c r="B591" s="9"/>
      <c r="C591" s="10" t="str">
        <f aca="false">IF($B591="","",IFERROR(INDEX('Client Master'!$C:$C,MATCH($B591,'Client Master'!$B:$B,0)),"Code not found"))</f>
        <v/>
      </c>
      <c r="D591" s="9"/>
      <c r="E591" s="9"/>
      <c r="F591" s="9"/>
      <c r="G591" s="11"/>
      <c r="H591" s="11"/>
      <c r="I591" s="9"/>
      <c r="J591" s="12"/>
      <c r="K591" s="11"/>
      <c r="L591" s="9"/>
      <c r="N591" s="0" t="str">
        <f aca="false">IF(AND($J591&gt;0,$K591="",$A591&lt;&gt;""),SUMPRODUCT(($J$2:$J$600&gt;0)*($K$2:$K$600="")*($A$2:$A$600&lt;&gt;"")*((IF($G$2:$G$600="",99999999,$G$2:$G$600))&lt;IF($G591="",99999999,$G591)))+SUMPRODUCT(($J$2:$J591&gt;0)*($K$2:$K591="")*($A$2:$A591&lt;&gt;"")*((IF($G$2:$G591="",99999999,$G$2:$G591))=IF($G591="",99999999,$G591))),"")</f>
        <v/>
      </c>
      <c r="O591" s="0" t="str">
        <f aca="false">IF(AND($F591="Not Started",$A591&lt;&gt;""),SUMPRODUCT(($F$2:$F$600="Not Started")*($A$2:$A$600&lt;&gt;"")*((IF($G$2:$G$600="",99999999,$G$2:$G$600))&lt;IF($G591="",99999999,$G591)))+SUMPRODUCT(($F$2:$F591="Not Started")*($A$2:$A591&lt;&gt;"")*((IF($G$2:$G591="",99999999,$G$2:$G591))=IF($G591="",99999999,$G591))),"")</f>
        <v/>
      </c>
      <c r="P591" s="0" t="str">
        <f aca="false">IF(AND(OR($F591="In Progress",$F591="Pending Client Data",$F591="Under Review"),$A591&lt;&gt;""),SUMPRODUCT((($F$2:$F$600="In Progress")+($F$2:$F$600="Pending Client Data")+($F$2:$F$600="Under Review"))*($A$2:$A$600&lt;&gt;"")*((IF($G$2:$G$600="",99999999,$G$2:$G$600))&lt;IF($G591="",99999999,$G591)))+SUMPRODUCT((($F$2:$F591="In Progress")+($F$2:$F591="Pending Client Data")+($F$2:$F591="Under Review"))*($A$2:$A591&lt;&gt;"")*((IF($G$2:$G591="",99999999,$G$2:$G591))=IF($G591="",99999999,$G591))),"")</f>
        <v/>
      </c>
    </row>
    <row r="592" customFormat="false" ht="15" hidden="false" customHeight="false" outlineLevel="0" collapsed="false">
      <c r="A592" s="9"/>
      <c r="B592" s="9"/>
      <c r="C592" s="10" t="str">
        <f aca="false">IF($B592="","",IFERROR(INDEX('Client Master'!$C:$C,MATCH($B592,'Client Master'!$B:$B,0)),"Code not found"))</f>
        <v/>
      </c>
      <c r="D592" s="9"/>
      <c r="E592" s="9"/>
      <c r="F592" s="9"/>
      <c r="G592" s="11"/>
      <c r="H592" s="11"/>
      <c r="I592" s="9"/>
      <c r="J592" s="12"/>
      <c r="K592" s="11"/>
      <c r="L592" s="9"/>
      <c r="N592" s="0" t="str">
        <f aca="false">IF(AND($J592&gt;0,$K592="",$A592&lt;&gt;""),SUMPRODUCT(($J$2:$J$600&gt;0)*($K$2:$K$600="")*($A$2:$A$600&lt;&gt;"")*((IF($G$2:$G$600="",99999999,$G$2:$G$600))&lt;IF($G592="",99999999,$G592)))+SUMPRODUCT(($J$2:$J592&gt;0)*($K$2:$K592="")*($A$2:$A592&lt;&gt;"")*((IF($G$2:$G592="",99999999,$G$2:$G592))=IF($G592="",99999999,$G592))),"")</f>
        <v/>
      </c>
      <c r="O592" s="0" t="str">
        <f aca="false">IF(AND($F592="Not Started",$A592&lt;&gt;""),SUMPRODUCT(($F$2:$F$600="Not Started")*($A$2:$A$600&lt;&gt;"")*((IF($G$2:$G$600="",99999999,$G$2:$G$600))&lt;IF($G592="",99999999,$G592)))+SUMPRODUCT(($F$2:$F592="Not Started")*($A$2:$A592&lt;&gt;"")*((IF($G$2:$G592="",99999999,$G$2:$G592))=IF($G592="",99999999,$G592))),"")</f>
        <v/>
      </c>
      <c r="P592" s="0" t="str">
        <f aca="false">IF(AND(OR($F592="In Progress",$F592="Pending Client Data",$F592="Under Review"),$A592&lt;&gt;""),SUMPRODUCT((($F$2:$F$600="In Progress")+($F$2:$F$600="Pending Client Data")+($F$2:$F$600="Under Review"))*($A$2:$A$600&lt;&gt;"")*((IF($G$2:$G$600="",99999999,$G$2:$G$600))&lt;IF($G592="",99999999,$G592)))+SUMPRODUCT((($F$2:$F592="In Progress")+($F$2:$F592="Pending Client Data")+($F$2:$F592="Under Review"))*($A$2:$A592&lt;&gt;"")*((IF($G$2:$G592="",99999999,$G$2:$G592))=IF($G592="",99999999,$G592))),"")</f>
        <v/>
      </c>
    </row>
    <row r="593" customFormat="false" ht="15" hidden="false" customHeight="false" outlineLevel="0" collapsed="false">
      <c r="A593" s="9"/>
      <c r="B593" s="9"/>
      <c r="C593" s="10" t="str">
        <f aca="false">IF($B593="","",IFERROR(INDEX('Client Master'!$C:$C,MATCH($B593,'Client Master'!$B:$B,0)),"Code not found"))</f>
        <v/>
      </c>
      <c r="D593" s="9"/>
      <c r="E593" s="9"/>
      <c r="F593" s="9"/>
      <c r="G593" s="11"/>
      <c r="H593" s="11"/>
      <c r="I593" s="9"/>
      <c r="J593" s="12"/>
      <c r="K593" s="11"/>
      <c r="L593" s="9"/>
      <c r="N593" s="0" t="str">
        <f aca="false">IF(AND($J593&gt;0,$K593="",$A593&lt;&gt;""),SUMPRODUCT(($J$2:$J$600&gt;0)*($K$2:$K$600="")*($A$2:$A$600&lt;&gt;"")*((IF($G$2:$G$600="",99999999,$G$2:$G$600))&lt;IF($G593="",99999999,$G593)))+SUMPRODUCT(($J$2:$J593&gt;0)*($K$2:$K593="")*($A$2:$A593&lt;&gt;"")*((IF($G$2:$G593="",99999999,$G$2:$G593))=IF($G593="",99999999,$G593))),"")</f>
        <v/>
      </c>
      <c r="O593" s="0" t="str">
        <f aca="false">IF(AND($F593="Not Started",$A593&lt;&gt;""),SUMPRODUCT(($F$2:$F$600="Not Started")*($A$2:$A$600&lt;&gt;"")*((IF($G$2:$G$600="",99999999,$G$2:$G$600))&lt;IF($G593="",99999999,$G593)))+SUMPRODUCT(($F$2:$F593="Not Started")*($A$2:$A593&lt;&gt;"")*((IF($G$2:$G593="",99999999,$G$2:$G593))=IF($G593="",99999999,$G593))),"")</f>
        <v/>
      </c>
      <c r="P593" s="0" t="str">
        <f aca="false">IF(AND(OR($F593="In Progress",$F593="Pending Client Data",$F593="Under Review"),$A593&lt;&gt;""),SUMPRODUCT((($F$2:$F$600="In Progress")+($F$2:$F$600="Pending Client Data")+($F$2:$F$600="Under Review"))*($A$2:$A$600&lt;&gt;"")*((IF($G$2:$G$600="",99999999,$G$2:$G$600))&lt;IF($G593="",99999999,$G593)))+SUMPRODUCT((($F$2:$F593="In Progress")+($F$2:$F593="Pending Client Data")+($F$2:$F593="Under Review"))*($A$2:$A593&lt;&gt;"")*((IF($G$2:$G593="",99999999,$G$2:$G593))=IF($G593="",99999999,$G593))),"")</f>
        <v/>
      </c>
    </row>
    <row r="594" customFormat="false" ht="15" hidden="false" customHeight="false" outlineLevel="0" collapsed="false">
      <c r="A594" s="9"/>
      <c r="B594" s="9"/>
      <c r="C594" s="10" t="str">
        <f aca="false">IF($B594="","",IFERROR(INDEX('Client Master'!$C:$C,MATCH($B594,'Client Master'!$B:$B,0)),"Code not found"))</f>
        <v/>
      </c>
      <c r="D594" s="9"/>
      <c r="E594" s="9"/>
      <c r="F594" s="9"/>
      <c r="G594" s="11"/>
      <c r="H594" s="11"/>
      <c r="I594" s="9"/>
      <c r="J594" s="12"/>
      <c r="K594" s="11"/>
      <c r="L594" s="9"/>
      <c r="N594" s="0" t="str">
        <f aca="false">IF(AND($J594&gt;0,$K594="",$A594&lt;&gt;""),SUMPRODUCT(($J$2:$J$600&gt;0)*($K$2:$K$600="")*($A$2:$A$600&lt;&gt;"")*((IF($G$2:$G$600="",99999999,$G$2:$G$600))&lt;IF($G594="",99999999,$G594)))+SUMPRODUCT(($J$2:$J594&gt;0)*($K$2:$K594="")*($A$2:$A594&lt;&gt;"")*((IF($G$2:$G594="",99999999,$G$2:$G594))=IF($G594="",99999999,$G594))),"")</f>
        <v/>
      </c>
      <c r="O594" s="0" t="str">
        <f aca="false">IF(AND($F594="Not Started",$A594&lt;&gt;""),SUMPRODUCT(($F$2:$F$600="Not Started")*($A$2:$A$600&lt;&gt;"")*((IF($G$2:$G$600="",99999999,$G$2:$G$600))&lt;IF($G594="",99999999,$G594)))+SUMPRODUCT(($F$2:$F594="Not Started")*($A$2:$A594&lt;&gt;"")*((IF($G$2:$G594="",99999999,$G$2:$G594))=IF($G594="",99999999,$G594))),"")</f>
        <v/>
      </c>
      <c r="P594" s="0" t="str">
        <f aca="false">IF(AND(OR($F594="In Progress",$F594="Pending Client Data",$F594="Under Review"),$A594&lt;&gt;""),SUMPRODUCT((($F$2:$F$600="In Progress")+($F$2:$F$600="Pending Client Data")+($F$2:$F$600="Under Review"))*($A$2:$A$600&lt;&gt;"")*((IF($G$2:$G$600="",99999999,$G$2:$G$600))&lt;IF($G594="",99999999,$G594)))+SUMPRODUCT((($F$2:$F594="In Progress")+($F$2:$F594="Pending Client Data")+($F$2:$F594="Under Review"))*($A$2:$A594&lt;&gt;"")*((IF($G$2:$G594="",99999999,$G$2:$G594))=IF($G594="",99999999,$G594))),"")</f>
        <v/>
      </c>
    </row>
    <row r="595" customFormat="false" ht="15" hidden="false" customHeight="false" outlineLevel="0" collapsed="false">
      <c r="A595" s="9"/>
      <c r="B595" s="9"/>
      <c r="C595" s="10" t="str">
        <f aca="false">IF($B595="","",IFERROR(INDEX('Client Master'!$C:$C,MATCH($B595,'Client Master'!$B:$B,0)),"Code not found"))</f>
        <v/>
      </c>
      <c r="D595" s="9"/>
      <c r="E595" s="9"/>
      <c r="F595" s="9"/>
      <c r="G595" s="11"/>
      <c r="H595" s="11"/>
      <c r="I595" s="9"/>
      <c r="J595" s="12"/>
      <c r="K595" s="11"/>
      <c r="L595" s="9"/>
      <c r="N595" s="0" t="str">
        <f aca="false">IF(AND($J595&gt;0,$K595="",$A595&lt;&gt;""),SUMPRODUCT(($J$2:$J$600&gt;0)*($K$2:$K$600="")*($A$2:$A$600&lt;&gt;"")*((IF($G$2:$G$600="",99999999,$G$2:$G$600))&lt;IF($G595="",99999999,$G595)))+SUMPRODUCT(($J$2:$J595&gt;0)*($K$2:$K595="")*($A$2:$A595&lt;&gt;"")*((IF($G$2:$G595="",99999999,$G$2:$G595))=IF($G595="",99999999,$G595))),"")</f>
        <v/>
      </c>
      <c r="O595" s="0" t="str">
        <f aca="false">IF(AND($F595="Not Started",$A595&lt;&gt;""),SUMPRODUCT(($F$2:$F$600="Not Started")*($A$2:$A$600&lt;&gt;"")*((IF($G$2:$G$600="",99999999,$G$2:$G$600))&lt;IF($G595="",99999999,$G595)))+SUMPRODUCT(($F$2:$F595="Not Started")*($A$2:$A595&lt;&gt;"")*((IF($G$2:$G595="",99999999,$G$2:$G595))=IF($G595="",99999999,$G595))),"")</f>
        <v/>
      </c>
      <c r="P595" s="0" t="str">
        <f aca="false">IF(AND(OR($F595="In Progress",$F595="Pending Client Data",$F595="Under Review"),$A595&lt;&gt;""),SUMPRODUCT((($F$2:$F$600="In Progress")+($F$2:$F$600="Pending Client Data")+($F$2:$F$600="Under Review"))*($A$2:$A$600&lt;&gt;"")*((IF($G$2:$G$600="",99999999,$G$2:$G$600))&lt;IF($G595="",99999999,$G595)))+SUMPRODUCT((($F$2:$F595="In Progress")+($F$2:$F595="Pending Client Data")+($F$2:$F595="Under Review"))*($A$2:$A595&lt;&gt;"")*((IF($G$2:$G595="",99999999,$G$2:$G595))=IF($G595="",99999999,$G595))),"")</f>
        <v/>
      </c>
    </row>
    <row r="596" customFormat="false" ht="15" hidden="false" customHeight="false" outlineLevel="0" collapsed="false">
      <c r="A596" s="9"/>
      <c r="B596" s="9"/>
      <c r="C596" s="10" t="str">
        <f aca="false">IF($B596="","",IFERROR(INDEX('Client Master'!$C:$C,MATCH($B596,'Client Master'!$B:$B,0)),"Code not found"))</f>
        <v/>
      </c>
      <c r="D596" s="9"/>
      <c r="E596" s="9"/>
      <c r="F596" s="9"/>
      <c r="G596" s="11"/>
      <c r="H596" s="11"/>
      <c r="I596" s="9"/>
      <c r="J596" s="12"/>
      <c r="K596" s="11"/>
      <c r="L596" s="9"/>
      <c r="N596" s="0" t="str">
        <f aca="false">IF(AND($J596&gt;0,$K596="",$A596&lt;&gt;""),SUMPRODUCT(($J$2:$J$600&gt;0)*($K$2:$K$600="")*($A$2:$A$600&lt;&gt;"")*((IF($G$2:$G$600="",99999999,$G$2:$G$600))&lt;IF($G596="",99999999,$G596)))+SUMPRODUCT(($J$2:$J596&gt;0)*($K$2:$K596="")*($A$2:$A596&lt;&gt;"")*((IF($G$2:$G596="",99999999,$G$2:$G596))=IF($G596="",99999999,$G596))),"")</f>
        <v/>
      </c>
      <c r="O596" s="0" t="str">
        <f aca="false">IF(AND($F596="Not Started",$A596&lt;&gt;""),SUMPRODUCT(($F$2:$F$600="Not Started")*($A$2:$A$600&lt;&gt;"")*((IF($G$2:$G$600="",99999999,$G$2:$G$600))&lt;IF($G596="",99999999,$G596)))+SUMPRODUCT(($F$2:$F596="Not Started")*($A$2:$A596&lt;&gt;"")*((IF($G$2:$G596="",99999999,$G$2:$G596))=IF($G596="",99999999,$G596))),"")</f>
        <v/>
      </c>
      <c r="P596" s="0" t="str">
        <f aca="false">IF(AND(OR($F596="In Progress",$F596="Pending Client Data",$F596="Under Review"),$A596&lt;&gt;""),SUMPRODUCT((($F$2:$F$600="In Progress")+($F$2:$F$600="Pending Client Data")+($F$2:$F$600="Under Review"))*($A$2:$A$600&lt;&gt;"")*((IF($G$2:$G$600="",99999999,$G$2:$G$600))&lt;IF($G596="",99999999,$G596)))+SUMPRODUCT((($F$2:$F596="In Progress")+($F$2:$F596="Pending Client Data")+($F$2:$F596="Under Review"))*($A$2:$A596&lt;&gt;"")*((IF($G$2:$G596="",99999999,$G$2:$G596))=IF($G596="",99999999,$G596))),"")</f>
        <v/>
      </c>
    </row>
    <row r="597" customFormat="false" ht="15" hidden="false" customHeight="false" outlineLevel="0" collapsed="false">
      <c r="A597" s="9"/>
      <c r="B597" s="9"/>
      <c r="C597" s="10" t="str">
        <f aca="false">IF($B597="","",IFERROR(INDEX('Client Master'!$C:$C,MATCH($B597,'Client Master'!$B:$B,0)),"Code not found"))</f>
        <v/>
      </c>
      <c r="D597" s="9"/>
      <c r="E597" s="9"/>
      <c r="F597" s="9"/>
      <c r="G597" s="11"/>
      <c r="H597" s="11"/>
      <c r="I597" s="9"/>
      <c r="J597" s="12"/>
      <c r="K597" s="11"/>
      <c r="L597" s="9"/>
      <c r="N597" s="0" t="str">
        <f aca="false">IF(AND($J597&gt;0,$K597="",$A597&lt;&gt;""),SUMPRODUCT(($J$2:$J$600&gt;0)*($K$2:$K$600="")*($A$2:$A$600&lt;&gt;"")*((IF($G$2:$G$600="",99999999,$G$2:$G$600))&lt;IF($G597="",99999999,$G597)))+SUMPRODUCT(($J$2:$J597&gt;0)*($K$2:$K597="")*($A$2:$A597&lt;&gt;"")*((IF($G$2:$G597="",99999999,$G$2:$G597))=IF($G597="",99999999,$G597))),"")</f>
        <v/>
      </c>
      <c r="O597" s="0" t="str">
        <f aca="false">IF(AND($F597="Not Started",$A597&lt;&gt;""),SUMPRODUCT(($F$2:$F$600="Not Started")*($A$2:$A$600&lt;&gt;"")*((IF($G$2:$G$600="",99999999,$G$2:$G$600))&lt;IF($G597="",99999999,$G597)))+SUMPRODUCT(($F$2:$F597="Not Started")*($A$2:$A597&lt;&gt;"")*((IF($G$2:$G597="",99999999,$G$2:$G597))=IF($G597="",99999999,$G597))),"")</f>
        <v/>
      </c>
      <c r="P597" s="0" t="str">
        <f aca="false">IF(AND(OR($F597="In Progress",$F597="Pending Client Data",$F597="Under Review"),$A597&lt;&gt;""),SUMPRODUCT((($F$2:$F$600="In Progress")+($F$2:$F$600="Pending Client Data")+($F$2:$F$600="Under Review"))*($A$2:$A$600&lt;&gt;"")*((IF($G$2:$G$600="",99999999,$G$2:$G$600))&lt;IF($G597="",99999999,$G597)))+SUMPRODUCT((($F$2:$F597="In Progress")+($F$2:$F597="Pending Client Data")+($F$2:$F597="Under Review"))*($A$2:$A597&lt;&gt;"")*((IF($G$2:$G597="",99999999,$G$2:$G597))=IF($G597="",99999999,$G597))),"")</f>
        <v/>
      </c>
    </row>
    <row r="598" customFormat="false" ht="15" hidden="false" customHeight="false" outlineLevel="0" collapsed="false">
      <c r="A598" s="9"/>
      <c r="B598" s="9"/>
      <c r="C598" s="10" t="str">
        <f aca="false">IF($B598="","",IFERROR(INDEX('Client Master'!$C:$C,MATCH($B598,'Client Master'!$B:$B,0)),"Code not found"))</f>
        <v/>
      </c>
      <c r="D598" s="9"/>
      <c r="E598" s="9"/>
      <c r="F598" s="9"/>
      <c r="G598" s="11"/>
      <c r="H598" s="11"/>
      <c r="I598" s="9"/>
      <c r="J598" s="12"/>
      <c r="K598" s="11"/>
      <c r="L598" s="9"/>
      <c r="N598" s="0" t="str">
        <f aca="false">IF(AND($J598&gt;0,$K598="",$A598&lt;&gt;""),SUMPRODUCT(($J$2:$J$600&gt;0)*($K$2:$K$600="")*($A$2:$A$600&lt;&gt;"")*((IF($G$2:$G$600="",99999999,$G$2:$G$600))&lt;IF($G598="",99999999,$G598)))+SUMPRODUCT(($J$2:$J598&gt;0)*($K$2:$K598="")*($A$2:$A598&lt;&gt;"")*((IF($G$2:$G598="",99999999,$G$2:$G598))=IF($G598="",99999999,$G598))),"")</f>
        <v/>
      </c>
      <c r="O598" s="0" t="str">
        <f aca="false">IF(AND($F598="Not Started",$A598&lt;&gt;""),SUMPRODUCT(($F$2:$F$600="Not Started")*($A$2:$A$600&lt;&gt;"")*((IF($G$2:$G$600="",99999999,$G$2:$G$600))&lt;IF($G598="",99999999,$G598)))+SUMPRODUCT(($F$2:$F598="Not Started")*($A$2:$A598&lt;&gt;"")*((IF($G$2:$G598="",99999999,$G$2:$G598))=IF($G598="",99999999,$G598))),"")</f>
        <v/>
      </c>
      <c r="P598" s="0" t="str">
        <f aca="false">IF(AND(OR($F598="In Progress",$F598="Pending Client Data",$F598="Under Review"),$A598&lt;&gt;""),SUMPRODUCT((($F$2:$F$600="In Progress")+($F$2:$F$600="Pending Client Data")+($F$2:$F$600="Under Review"))*($A$2:$A$600&lt;&gt;"")*((IF($G$2:$G$600="",99999999,$G$2:$G$600))&lt;IF($G598="",99999999,$G598)))+SUMPRODUCT((($F$2:$F598="In Progress")+($F$2:$F598="Pending Client Data")+($F$2:$F598="Under Review"))*($A$2:$A598&lt;&gt;"")*((IF($G$2:$G598="",99999999,$G$2:$G598))=IF($G598="",99999999,$G598))),"")</f>
        <v/>
      </c>
    </row>
    <row r="599" customFormat="false" ht="15" hidden="false" customHeight="false" outlineLevel="0" collapsed="false">
      <c r="A599" s="9"/>
      <c r="B599" s="9"/>
      <c r="C599" s="10" t="str">
        <f aca="false">IF($B599="","",IFERROR(INDEX('Client Master'!$C:$C,MATCH($B599,'Client Master'!$B:$B,0)),"Code not found"))</f>
        <v/>
      </c>
      <c r="D599" s="9"/>
      <c r="E599" s="9"/>
      <c r="F599" s="9"/>
      <c r="G599" s="11"/>
      <c r="H599" s="11"/>
      <c r="I599" s="9"/>
      <c r="J599" s="12"/>
      <c r="K599" s="11"/>
      <c r="L599" s="9"/>
      <c r="N599" s="0" t="str">
        <f aca="false">IF(AND($J599&gt;0,$K599="",$A599&lt;&gt;""),SUMPRODUCT(($J$2:$J$600&gt;0)*($K$2:$K$600="")*($A$2:$A$600&lt;&gt;"")*((IF($G$2:$G$600="",99999999,$G$2:$G$600))&lt;IF($G599="",99999999,$G599)))+SUMPRODUCT(($J$2:$J599&gt;0)*($K$2:$K599="")*($A$2:$A599&lt;&gt;"")*((IF($G$2:$G599="",99999999,$G$2:$G599))=IF($G599="",99999999,$G599))),"")</f>
        <v/>
      </c>
      <c r="O599" s="0" t="str">
        <f aca="false">IF(AND($F599="Not Started",$A599&lt;&gt;""),SUMPRODUCT(($F$2:$F$600="Not Started")*($A$2:$A$600&lt;&gt;"")*((IF($G$2:$G$600="",99999999,$G$2:$G$600))&lt;IF($G599="",99999999,$G599)))+SUMPRODUCT(($F$2:$F599="Not Started")*($A$2:$A599&lt;&gt;"")*((IF($G$2:$G599="",99999999,$G$2:$G599))=IF($G599="",99999999,$G599))),"")</f>
        <v/>
      </c>
      <c r="P599" s="0" t="str">
        <f aca="false">IF(AND(OR($F599="In Progress",$F599="Pending Client Data",$F599="Under Review"),$A599&lt;&gt;""),SUMPRODUCT((($F$2:$F$600="In Progress")+($F$2:$F$600="Pending Client Data")+($F$2:$F$600="Under Review"))*($A$2:$A$600&lt;&gt;"")*((IF($G$2:$G$600="",99999999,$G$2:$G$600))&lt;IF($G599="",99999999,$G599)))+SUMPRODUCT((($F$2:$F599="In Progress")+($F$2:$F599="Pending Client Data")+($F$2:$F599="Under Review"))*($A$2:$A599&lt;&gt;"")*((IF($G$2:$G599="",99999999,$G$2:$G599))=IF($G599="",99999999,$G599))),"")</f>
        <v/>
      </c>
    </row>
    <row r="600" customFormat="false" ht="15" hidden="false" customHeight="false" outlineLevel="0" collapsed="false">
      <c r="A600" s="9"/>
      <c r="B600" s="9"/>
      <c r="C600" s="10" t="str">
        <f aca="false">IF($B600="","",IFERROR(INDEX('Client Master'!$C:$C,MATCH($B600,'Client Master'!$B:$B,0)),"Code not found"))</f>
        <v/>
      </c>
      <c r="D600" s="9"/>
      <c r="E600" s="9"/>
      <c r="F600" s="9"/>
      <c r="G600" s="11"/>
      <c r="H600" s="11"/>
      <c r="I600" s="9"/>
      <c r="J600" s="12"/>
      <c r="K600" s="11"/>
      <c r="L600" s="9"/>
      <c r="N600" s="0" t="str">
        <f aca="false">IF(AND($J600&gt;0,$K600="",$A600&lt;&gt;""),SUMPRODUCT(($J$2:$J$600&gt;0)*($K$2:$K$600="")*($A$2:$A$600&lt;&gt;"")*((IF($G$2:$G$600="",99999999,$G$2:$G$600))&lt;IF($G600="",99999999,$G600)))+SUMPRODUCT(($J$2:$J600&gt;0)*($K$2:$K600="")*($A$2:$A600&lt;&gt;"")*((IF($G$2:$G600="",99999999,$G$2:$G600))=IF($G600="",99999999,$G600))),"")</f>
        <v/>
      </c>
      <c r="O600" s="0" t="str">
        <f aca="false">IF(AND($F600="Not Started",$A600&lt;&gt;""),SUMPRODUCT(($F$2:$F$600="Not Started")*($A$2:$A$600&lt;&gt;"")*((IF($G$2:$G$600="",99999999,$G$2:$G$600))&lt;IF($G600="",99999999,$G600)))+SUMPRODUCT(($F$2:$F600="Not Started")*($A$2:$A600&lt;&gt;"")*((IF($G$2:$G600="",99999999,$G$2:$G600))=IF($G600="",99999999,$G600))),"")</f>
        <v/>
      </c>
      <c r="P600" s="0" t="str">
        <f aca="false">IF(AND(OR($F600="In Progress",$F600="Pending Client Data",$F600="Under Review"),$A600&lt;&gt;""),SUMPRODUCT((($F$2:$F$600="In Progress")+($F$2:$F$600="Pending Client Data")+($F$2:$F$600="Under Review"))*($A$2:$A$600&lt;&gt;"")*((IF($G$2:$G$600="",99999999,$G$2:$G$600))&lt;IF($G600="",99999999,$G600)))+SUMPRODUCT((($F$2:$F600="In Progress")+($F$2:$F600="Pending Client Data")+($F$2:$F600="Under Review"))*($A$2:$A600&lt;&gt;"")*((IF($G$2:$G600="",99999999,$G$2:$G600))=IF($G600="",99999999,$G600))),"")</f>
        <v/>
      </c>
    </row>
  </sheetData>
  <conditionalFormatting sqref="F2:H600">
    <cfRule type="expression" priority="2" aboveAverage="0" equalAverage="0" bottom="0" percent="0" rank="0" text="" dxfId="0">
      <formula>AND($G2&lt;&gt;"",$G2&lt;TODAY(),$F2&lt;&gt;"Completed",$F2&lt;&gt;"Cancelled")</formula>
    </cfRule>
  </conditionalFormatting>
  <conditionalFormatting sqref="J2:J600">
    <cfRule type="expression" priority="3" aboveAverage="0" equalAverage="0" bottom="0" percent="0" rank="0" text="" dxfId="1">
      <formula>$K2&lt;&gt;""</formula>
    </cfRule>
  </conditionalFormatting>
  <dataValidations count="3">
    <dataValidation allowBlank="true" errorStyle="stop" operator="between" showDropDown="false" showErrorMessage="false" showInputMessage="false" sqref="D2:D600" type="list">
      <formula1>Lists!$C$2:$C$60</formula1>
      <formula2>0</formula2>
    </dataValidation>
    <dataValidation allowBlank="true" errorStyle="stop" operator="between" showDropDown="false" showErrorMessage="false" showInputMessage="false" sqref="F2:F600" type="list">
      <formula1>Lists!$D$2:$D$60</formula1>
      <formula2>0</formula2>
    </dataValidation>
    <dataValidation allowBlank="true" errorStyle="stop" operator="between" showDropDown="false" showErrorMessage="false" showInputMessage="false" sqref="I2:I600" type="list">
      <formula1>Lists!$E$2:$E$60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true" outlineLevel="0" max="8" min="8" style="0" width="13"/>
  </cols>
  <sheetData>
    <row r="1" customFormat="false" ht="15" hidden="false" customHeight="false" outlineLevel="0" collapsed="false">
      <c r="A1" s="8" t="s">
        <v>34</v>
      </c>
      <c r="B1" s="8" t="s">
        <v>35</v>
      </c>
      <c r="C1" s="8" t="s">
        <v>36</v>
      </c>
      <c r="D1" s="8" t="s">
        <v>38</v>
      </c>
      <c r="E1" s="8" t="s">
        <v>39</v>
      </c>
      <c r="F1" s="8" t="s">
        <v>41</v>
      </c>
      <c r="H1" s="14" t="s">
        <v>61</v>
      </c>
    </row>
    <row r="2" customFormat="false" ht="15" hidden="false" customHeight="false" outlineLevel="0" collapsed="false">
      <c r="A2" s="10" t="str">
        <f aca="false">IF($H2="","",INDEX('Work Master'!$A:$A,$H2))</f>
        <v>2627-W001</v>
      </c>
      <c r="B2" s="10" t="str">
        <f aca="false">IF($H2="","",INDEX('Work Master'!$C:$C,$H2))</f>
        <v>Sample Traders (example row)</v>
      </c>
      <c r="C2" s="10" t="str">
        <f aca="false">IF($H2="","",INDEX('Work Master'!$D:$D,$H2))</f>
        <v>GST Return - GSTR-3B</v>
      </c>
      <c r="D2" s="10" t="str">
        <f aca="false">IF($H2="","",INDEX('Work Master'!$F:$F,$H2))</f>
        <v>In Progress</v>
      </c>
      <c r="E2" s="15" t="n">
        <f aca="false">IF($H2="","",INDEX('Work Master'!$G:$G,$H2))</f>
        <v>46223</v>
      </c>
      <c r="F2" s="10" t="str">
        <f aca="false">IF($H2="","",INDEX('Work Master'!$I:$I,$H2))</f>
        <v>Staff 1</v>
      </c>
      <c r="H2" s="13" t="n">
        <f aca="false">IFERROR(MATCH(1,'Work Master'!$P:$P,0),"")</f>
        <v>2</v>
      </c>
    </row>
    <row r="3" customFormat="false" ht="15" hidden="false" customHeight="false" outlineLevel="0" collapsed="false">
      <c r="A3" s="10" t="str">
        <f aca="false">IF($H3="","",INDEX('Work Master'!$A:$A,$H3))</f>
        <v/>
      </c>
      <c r="B3" s="10" t="str">
        <f aca="false">IF($H3="","",INDEX('Work Master'!$C:$C,$H3))</f>
        <v/>
      </c>
      <c r="C3" s="10" t="str">
        <f aca="false">IF($H3="","",INDEX('Work Master'!$D:$D,$H3))</f>
        <v/>
      </c>
      <c r="D3" s="10" t="str">
        <f aca="false">IF($H3="","",INDEX('Work Master'!$F:$F,$H3))</f>
        <v/>
      </c>
      <c r="E3" s="15" t="str">
        <f aca="false">IF($H3="","",INDEX('Work Master'!$G:$G,$H3))</f>
        <v/>
      </c>
      <c r="F3" s="10" t="str">
        <f aca="false">IF($H3="","",INDEX('Work Master'!$I:$I,$H3))</f>
        <v/>
      </c>
      <c r="H3" s="0" t="str">
        <f aca="false">IFERROR(MATCH(2,'Work Master'!$P:$P,0),"")</f>
        <v/>
      </c>
    </row>
    <row r="4" customFormat="false" ht="15" hidden="false" customHeight="false" outlineLevel="0" collapsed="false">
      <c r="A4" s="10" t="str">
        <f aca="false">IF($H4="","",INDEX('Work Master'!$A:$A,$H4))</f>
        <v/>
      </c>
      <c r="B4" s="10" t="str">
        <f aca="false">IF($H4="","",INDEX('Work Master'!$C:$C,$H4))</f>
        <v/>
      </c>
      <c r="C4" s="10" t="str">
        <f aca="false">IF($H4="","",INDEX('Work Master'!$D:$D,$H4))</f>
        <v/>
      </c>
      <c r="D4" s="10" t="str">
        <f aca="false">IF($H4="","",INDEX('Work Master'!$F:$F,$H4))</f>
        <v/>
      </c>
      <c r="E4" s="15" t="str">
        <f aca="false">IF($H4="","",INDEX('Work Master'!$G:$G,$H4))</f>
        <v/>
      </c>
      <c r="F4" s="10" t="str">
        <f aca="false">IF($H4="","",INDEX('Work Master'!$I:$I,$H4))</f>
        <v/>
      </c>
      <c r="H4" s="0" t="str">
        <f aca="false">IFERROR(MATCH(3,'Work Master'!$P:$P,0),"")</f>
        <v/>
      </c>
    </row>
    <row r="5" customFormat="false" ht="15" hidden="false" customHeight="false" outlineLevel="0" collapsed="false">
      <c r="A5" s="10" t="str">
        <f aca="false">IF($H5="","",INDEX('Work Master'!$A:$A,$H5))</f>
        <v/>
      </c>
      <c r="B5" s="10" t="str">
        <f aca="false">IF($H5="","",INDEX('Work Master'!$C:$C,$H5))</f>
        <v/>
      </c>
      <c r="C5" s="10" t="str">
        <f aca="false">IF($H5="","",INDEX('Work Master'!$D:$D,$H5))</f>
        <v/>
      </c>
      <c r="D5" s="10" t="str">
        <f aca="false">IF($H5="","",INDEX('Work Master'!$F:$F,$H5))</f>
        <v/>
      </c>
      <c r="E5" s="15" t="str">
        <f aca="false">IF($H5="","",INDEX('Work Master'!$G:$G,$H5))</f>
        <v/>
      </c>
      <c r="F5" s="10" t="str">
        <f aca="false">IF($H5="","",INDEX('Work Master'!$I:$I,$H5))</f>
        <v/>
      </c>
      <c r="H5" s="0" t="str">
        <f aca="false">IFERROR(MATCH(4,'Work Master'!$P:$P,0),"")</f>
        <v/>
      </c>
    </row>
    <row r="6" customFormat="false" ht="15" hidden="false" customHeight="false" outlineLevel="0" collapsed="false">
      <c r="A6" s="10" t="str">
        <f aca="false">IF($H6="","",INDEX('Work Master'!$A:$A,$H6))</f>
        <v/>
      </c>
      <c r="B6" s="10" t="str">
        <f aca="false">IF($H6="","",INDEX('Work Master'!$C:$C,$H6))</f>
        <v/>
      </c>
      <c r="C6" s="10" t="str">
        <f aca="false">IF($H6="","",INDEX('Work Master'!$D:$D,$H6))</f>
        <v/>
      </c>
      <c r="D6" s="10" t="str">
        <f aca="false">IF($H6="","",INDEX('Work Master'!$F:$F,$H6))</f>
        <v/>
      </c>
      <c r="E6" s="15" t="str">
        <f aca="false">IF($H6="","",INDEX('Work Master'!$G:$G,$H6))</f>
        <v/>
      </c>
      <c r="F6" s="10" t="str">
        <f aca="false">IF($H6="","",INDEX('Work Master'!$I:$I,$H6))</f>
        <v/>
      </c>
      <c r="H6" s="0" t="str">
        <f aca="false">IFERROR(MATCH(5,'Work Master'!$P:$P,0),"")</f>
        <v/>
      </c>
    </row>
    <row r="7" customFormat="false" ht="15" hidden="false" customHeight="false" outlineLevel="0" collapsed="false">
      <c r="A7" s="10" t="str">
        <f aca="false">IF($H7="","",INDEX('Work Master'!$A:$A,$H7))</f>
        <v/>
      </c>
      <c r="B7" s="10" t="str">
        <f aca="false">IF($H7="","",INDEX('Work Master'!$C:$C,$H7))</f>
        <v/>
      </c>
      <c r="C7" s="10" t="str">
        <f aca="false">IF($H7="","",INDEX('Work Master'!$D:$D,$H7))</f>
        <v/>
      </c>
      <c r="D7" s="10" t="str">
        <f aca="false">IF($H7="","",INDEX('Work Master'!$F:$F,$H7))</f>
        <v/>
      </c>
      <c r="E7" s="15" t="str">
        <f aca="false">IF($H7="","",INDEX('Work Master'!$G:$G,$H7))</f>
        <v/>
      </c>
      <c r="F7" s="10" t="str">
        <f aca="false">IF($H7="","",INDEX('Work Master'!$I:$I,$H7))</f>
        <v/>
      </c>
      <c r="H7" s="0" t="str">
        <f aca="false">IFERROR(MATCH(6,'Work Master'!$P:$P,0),"")</f>
        <v/>
      </c>
    </row>
    <row r="8" customFormat="false" ht="15" hidden="false" customHeight="false" outlineLevel="0" collapsed="false">
      <c r="A8" s="10" t="str">
        <f aca="false">IF($H8="","",INDEX('Work Master'!$A:$A,$H8))</f>
        <v/>
      </c>
      <c r="B8" s="10" t="str">
        <f aca="false">IF($H8="","",INDEX('Work Master'!$C:$C,$H8))</f>
        <v/>
      </c>
      <c r="C8" s="10" t="str">
        <f aca="false">IF($H8="","",INDEX('Work Master'!$D:$D,$H8))</f>
        <v/>
      </c>
      <c r="D8" s="10" t="str">
        <f aca="false">IF($H8="","",INDEX('Work Master'!$F:$F,$H8))</f>
        <v/>
      </c>
      <c r="E8" s="15" t="str">
        <f aca="false">IF($H8="","",INDEX('Work Master'!$G:$G,$H8))</f>
        <v/>
      </c>
      <c r="F8" s="10" t="str">
        <f aca="false">IF($H8="","",INDEX('Work Master'!$I:$I,$H8))</f>
        <v/>
      </c>
      <c r="H8" s="0" t="str">
        <f aca="false">IFERROR(MATCH(7,'Work Master'!$P:$P,0),"")</f>
        <v/>
      </c>
    </row>
    <row r="9" customFormat="false" ht="15" hidden="false" customHeight="false" outlineLevel="0" collapsed="false">
      <c r="A9" s="10" t="str">
        <f aca="false">IF($H9="","",INDEX('Work Master'!$A:$A,$H9))</f>
        <v/>
      </c>
      <c r="B9" s="10" t="str">
        <f aca="false">IF($H9="","",INDEX('Work Master'!$C:$C,$H9))</f>
        <v/>
      </c>
      <c r="C9" s="10" t="str">
        <f aca="false">IF($H9="","",INDEX('Work Master'!$D:$D,$H9))</f>
        <v/>
      </c>
      <c r="D9" s="10" t="str">
        <f aca="false">IF($H9="","",INDEX('Work Master'!$F:$F,$H9))</f>
        <v/>
      </c>
      <c r="E9" s="15" t="str">
        <f aca="false">IF($H9="","",INDEX('Work Master'!$G:$G,$H9))</f>
        <v/>
      </c>
      <c r="F9" s="10" t="str">
        <f aca="false">IF($H9="","",INDEX('Work Master'!$I:$I,$H9))</f>
        <v/>
      </c>
      <c r="H9" s="0" t="str">
        <f aca="false">IFERROR(MATCH(8,'Work Master'!$P:$P,0),"")</f>
        <v/>
      </c>
    </row>
    <row r="10" customFormat="false" ht="15" hidden="false" customHeight="false" outlineLevel="0" collapsed="false">
      <c r="A10" s="10" t="str">
        <f aca="false">IF($H10="","",INDEX('Work Master'!$A:$A,$H10))</f>
        <v/>
      </c>
      <c r="B10" s="10" t="str">
        <f aca="false">IF($H10="","",INDEX('Work Master'!$C:$C,$H10))</f>
        <v/>
      </c>
      <c r="C10" s="10" t="str">
        <f aca="false">IF($H10="","",INDEX('Work Master'!$D:$D,$H10))</f>
        <v/>
      </c>
      <c r="D10" s="10" t="str">
        <f aca="false">IF($H10="","",INDEX('Work Master'!$F:$F,$H10))</f>
        <v/>
      </c>
      <c r="E10" s="15" t="str">
        <f aca="false">IF($H10="","",INDEX('Work Master'!$G:$G,$H10))</f>
        <v/>
      </c>
      <c r="F10" s="10" t="str">
        <f aca="false">IF($H10="","",INDEX('Work Master'!$I:$I,$H10))</f>
        <v/>
      </c>
      <c r="H10" s="0" t="str">
        <f aca="false">IFERROR(MATCH(9,'Work Master'!$P:$P,0),"")</f>
        <v/>
      </c>
    </row>
    <row r="11" customFormat="false" ht="15" hidden="false" customHeight="false" outlineLevel="0" collapsed="false">
      <c r="A11" s="10" t="str">
        <f aca="false">IF($H11="","",INDEX('Work Master'!$A:$A,$H11))</f>
        <v/>
      </c>
      <c r="B11" s="10" t="str">
        <f aca="false">IF($H11="","",INDEX('Work Master'!$C:$C,$H11))</f>
        <v/>
      </c>
      <c r="C11" s="10" t="str">
        <f aca="false">IF($H11="","",INDEX('Work Master'!$D:$D,$H11))</f>
        <v/>
      </c>
      <c r="D11" s="10" t="str">
        <f aca="false">IF($H11="","",INDEX('Work Master'!$F:$F,$H11))</f>
        <v/>
      </c>
      <c r="E11" s="15" t="str">
        <f aca="false">IF($H11="","",INDEX('Work Master'!$G:$G,$H11))</f>
        <v/>
      </c>
      <c r="F11" s="10" t="str">
        <f aca="false">IF($H11="","",INDEX('Work Master'!$I:$I,$H11))</f>
        <v/>
      </c>
      <c r="H11" s="0" t="str">
        <f aca="false">IFERROR(MATCH(10,'Work Master'!$P:$P,0),"")</f>
        <v/>
      </c>
    </row>
    <row r="12" customFormat="false" ht="15" hidden="false" customHeight="false" outlineLevel="0" collapsed="false">
      <c r="A12" s="10" t="str">
        <f aca="false">IF($H12="","",INDEX('Work Master'!$A:$A,$H12))</f>
        <v/>
      </c>
      <c r="B12" s="10" t="str">
        <f aca="false">IF($H12="","",INDEX('Work Master'!$C:$C,$H12))</f>
        <v/>
      </c>
      <c r="C12" s="10" t="str">
        <f aca="false">IF($H12="","",INDEX('Work Master'!$D:$D,$H12))</f>
        <v/>
      </c>
      <c r="D12" s="10" t="str">
        <f aca="false">IF($H12="","",INDEX('Work Master'!$F:$F,$H12))</f>
        <v/>
      </c>
      <c r="E12" s="15" t="str">
        <f aca="false">IF($H12="","",INDEX('Work Master'!$G:$G,$H12))</f>
        <v/>
      </c>
      <c r="F12" s="10" t="str">
        <f aca="false">IF($H12="","",INDEX('Work Master'!$I:$I,$H12))</f>
        <v/>
      </c>
      <c r="H12" s="0" t="str">
        <f aca="false">IFERROR(MATCH(11,'Work Master'!$P:$P,0),"")</f>
        <v/>
      </c>
    </row>
    <row r="13" customFormat="false" ht="15" hidden="false" customHeight="false" outlineLevel="0" collapsed="false">
      <c r="A13" s="10" t="str">
        <f aca="false">IF($H13="","",INDEX('Work Master'!$A:$A,$H13))</f>
        <v/>
      </c>
      <c r="B13" s="10" t="str">
        <f aca="false">IF($H13="","",INDEX('Work Master'!$C:$C,$H13))</f>
        <v/>
      </c>
      <c r="C13" s="10" t="str">
        <f aca="false">IF($H13="","",INDEX('Work Master'!$D:$D,$H13))</f>
        <v/>
      </c>
      <c r="D13" s="10" t="str">
        <f aca="false">IF($H13="","",INDEX('Work Master'!$F:$F,$H13))</f>
        <v/>
      </c>
      <c r="E13" s="15" t="str">
        <f aca="false">IF($H13="","",INDEX('Work Master'!$G:$G,$H13))</f>
        <v/>
      </c>
      <c r="F13" s="10" t="str">
        <f aca="false">IF($H13="","",INDEX('Work Master'!$I:$I,$H13))</f>
        <v/>
      </c>
      <c r="H13" s="0" t="str">
        <f aca="false">IFERROR(MATCH(12,'Work Master'!$P:$P,0),"")</f>
        <v/>
      </c>
    </row>
    <row r="14" customFormat="false" ht="15" hidden="false" customHeight="false" outlineLevel="0" collapsed="false">
      <c r="A14" s="10" t="str">
        <f aca="false">IF($H14="","",INDEX('Work Master'!$A:$A,$H14))</f>
        <v/>
      </c>
      <c r="B14" s="10" t="str">
        <f aca="false">IF($H14="","",INDEX('Work Master'!$C:$C,$H14))</f>
        <v/>
      </c>
      <c r="C14" s="10" t="str">
        <f aca="false">IF($H14="","",INDEX('Work Master'!$D:$D,$H14))</f>
        <v/>
      </c>
      <c r="D14" s="10" t="str">
        <f aca="false">IF($H14="","",INDEX('Work Master'!$F:$F,$H14))</f>
        <v/>
      </c>
      <c r="E14" s="15" t="str">
        <f aca="false">IF($H14="","",INDEX('Work Master'!$G:$G,$H14))</f>
        <v/>
      </c>
      <c r="F14" s="10" t="str">
        <f aca="false">IF($H14="","",INDEX('Work Master'!$I:$I,$H14))</f>
        <v/>
      </c>
      <c r="H14" s="0" t="str">
        <f aca="false">IFERROR(MATCH(13,'Work Master'!$P:$P,0),"")</f>
        <v/>
      </c>
    </row>
    <row r="15" customFormat="false" ht="15" hidden="false" customHeight="false" outlineLevel="0" collapsed="false">
      <c r="A15" s="10" t="str">
        <f aca="false">IF($H15="","",INDEX('Work Master'!$A:$A,$H15))</f>
        <v/>
      </c>
      <c r="B15" s="10" t="str">
        <f aca="false">IF($H15="","",INDEX('Work Master'!$C:$C,$H15))</f>
        <v/>
      </c>
      <c r="C15" s="10" t="str">
        <f aca="false">IF($H15="","",INDEX('Work Master'!$D:$D,$H15))</f>
        <v/>
      </c>
      <c r="D15" s="10" t="str">
        <f aca="false">IF($H15="","",INDEX('Work Master'!$F:$F,$H15))</f>
        <v/>
      </c>
      <c r="E15" s="15" t="str">
        <f aca="false">IF($H15="","",INDEX('Work Master'!$G:$G,$H15))</f>
        <v/>
      </c>
      <c r="F15" s="10" t="str">
        <f aca="false">IF($H15="","",INDEX('Work Master'!$I:$I,$H15))</f>
        <v/>
      </c>
      <c r="H15" s="0" t="str">
        <f aca="false">IFERROR(MATCH(14,'Work Master'!$P:$P,0),"")</f>
        <v/>
      </c>
    </row>
    <row r="16" customFormat="false" ht="15" hidden="false" customHeight="false" outlineLevel="0" collapsed="false">
      <c r="A16" s="10" t="str">
        <f aca="false">IF($H16="","",INDEX('Work Master'!$A:$A,$H16))</f>
        <v/>
      </c>
      <c r="B16" s="10" t="str">
        <f aca="false">IF($H16="","",INDEX('Work Master'!$C:$C,$H16))</f>
        <v/>
      </c>
      <c r="C16" s="10" t="str">
        <f aca="false">IF($H16="","",INDEX('Work Master'!$D:$D,$H16))</f>
        <v/>
      </c>
      <c r="D16" s="10" t="str">
        <f aca="false">IF($H16="","",INDEX('Work Master'!$F:$F,$H16))</f>
        <v/>
      </c>
      <c r="E16" s="15" t="str">
        <f aca="false">IF($H16="","",INDEX('Work Master'!$G:$G,$H16))</f>
        <v/>
      </c>
      <c r="F16" s="10" t="str">
        <f aca="false">IF($H16="","",INDEX('Work Master'!$I:$I,$H16))</f>
        <v/>
      </c>
      <c r="H16" s="0" t="str">
        <f aca="false">IFERROR(MATCH(15,'Work Master'!$P:$P,0),"")</f>
        <v/>
      </c>
    </row>
    <row r="17" customFormat="false" ht="15" hidden="false" customHeight="false" outlineLevel="0" collapsed="false">
      <c r="A17" s="10" t="str">
        <f aca="false">IF($H17="","",INDEX('Work Master'!$A:$A,$H17))</f>
        <v/>
      </c>
      <c r="B17" s="10" t="str">
        <f aca="false">IF($H17="","",INDEX('Work Master'!$C:$C,$H17))</f>
        <v/>
      </c>
      <c r="C17" s="10" t="str">
        <f aca="false">IF($H17="","",INDEX('Work Master'!$D:$D,$H17))</f>
        <v/>
      </c>
      <c r="D17" s="10" t="str">
        <f aca="false">IF($H17="","",INDEX('Work Master'!$F:$F,$H17))</f>
        <v/>
      </c>
      <c r="E17" s="15" t="str">
        <f aca="false">IF($H17="","",INDEX('Work Master'!$G:$G,$H17))</f>
        <v/>
      </c>
      <c r="F17" s="10" t="str">
        <f aca="false">IF($H17="","",INDEX('Work Master'!$I:$I,$H17))</f>
        <v/>
      </c>
      <c r="H17" s="0" t="str">
        <f aca="false">IFERROR(MATCH(16,'Work Master'!$P:$P,0),"")</f>
        <v/>
      </c>
    </row>
    <row r="18" customFormat="false" ht="15" hidden="false" customHeight="false" outlineLevel="0" collapsed="false">
      <c r="A18" s="10" t="str">
        <f aca="false">IF($H18="","",INDEX('Work Master'!$A:$A,$H18))</f>
        <v/>
      </c>
      <c r="B18" s="10" t="str">
        <f aca="false">IF($H18="","",INDEX('Work Master'!$C:$C,$H18))</f>
        <v/>
      </c>
      <c r="C18" s="10" t="str">
        <f aca="false">IF($H18="","",INDEX('Work Master'!$D:$D,$H18))</f>
        <v/>
      </c>
      <c r="D18" s="10" t="str">
        <f aca="false">IF($H18="","",INDEX('Work Master'!$F:$F,$H18))</f>
        <v/>
      </c>
      <c r="E18" s="15" t="str">
        <f aca="false">IF($H18="","",INDEX('Work Master'!$G:$G,$H18))</f>
        <v/>
      </c>
      <c r="F18" s="10" t="str">
        <f aca="false">IF($H18="","",INDEX('Work Master'!$I:$I,$H18))</f>
        <v/>
      </c>
      <c r="H18" s="0" t="str">
        <f aca="false">IFERROR(MATCH(17,'Work Master'!$P:$P,0),"")</f>
        <v/>
      </c>
    </row>
    <row r="19" customFormat="false" ht="15" hidden="false" customHeight="false" outlineLevel="0" collapsed="false">
      <c r="A19" s="10" t="str">
        <f aca="false">IF($H19="","",INDEX('Work Master'!$A:$A,$H19))</f>
        <v/>
      </c>
      <c r="B19" s="10" t="str">
        <f aca="false">IF($H19="","",INDEX('Work Master'!$C:$C,$H19))</f>
        <v/>
      </c>
      <c r="C19" s="10" t="str">
        <f aca="false">IF($H19="","",INDEX('Work Master'!$D:$D,$H19))</f>
        <v/>
      </c>
      <c r="D19" s="10" t="str">
        <f aca="false">IF($H19="","",INDEX('Work Master'!$F:$F,$H19))</f>
        <v/>
      </c>
      <c r="E19" s="15" t="str">
        <f aca="false">IF($H19="","",INDEX('Work Master'!$G:$G,$H19))</f>
        <v/>
      </c>
      <c r="F19" s="10" t="str">
        <f aca="false">IF($H19="","",INDEX('Work Master'!$I:$I,$H19))</f>
        <v/>
      </c>
      <c r="H19" s="0" t="str">
        <f aca="false">IFERROR(MATCH(18,'Work Master'!$P:$P,0),"")</f>
        <v/>
      </c>
    </row>
    <row r="20" customFormat="false" ht="15" hidden="false" customHeight="false" outlineLevel="0" collapsed="false">
      <c r="A20" s="10" t="str">
        <f aca="false">IF($H20="","",INDEX('Work Master'!$A:$A,$H20))</f>
        <v/>
      </c>
      <c r="B20" s="10" t="str">
        <f aca="false">IF($H20="","",INDEX('Work Master'!$C:$C,$H20))</f>
        <v/>
      </c>
      <c r="C20" s="10" t="str">
        <f aca="false">IF($H20="","",INDEX('Work Master'!$D:$D,$H20))</f>
        <v/>
      </c>
      <c r="D20" s="10" t="str">
        <f aca="false">IF($H20="","",INDEX('Work Master'!$F:$F,$H20))</f>
        <v/>
      </c>
      <c r="E20" s="15" t="str">
        <f aca="false">IF($H20="","",INDEX('Work Master'!$G:$G,$H20))</f>
        <v/>
      </c>
      <c r="F20" s="10" t="str">
        <f aca="false">IF($H20="","",INDEX('Work Master'!$I:$I,$H20))</f>
        <v/>
      </c>
      <c r="H20" s="0" t="str">
        <f aca="false">IFERROR(MATCH(19,'Work Master'!$P:$P,0),"")</f>
        <v/>
      </c>
    </row>
    <row r="21" customFormat="false" ht="15" hidden="false" customHeight="false" outlineLevel="0" collapsed="false">
      <c r="A21" s="10" t="str">
        <f aca="false">IF($H21="","",INDEX('Work Master'!$A:$A,$H21))</f>
        <v/>
      </c>
      <c r="B21" s="10" t="str">
        <f aca="false">IF($H21="","",INDEX('Work Master'!$C:$C,$H21))</f>
        <v/>
      </c>
      <c r="C21" s="10" t="str">
        <f aca="false">IF($H21="","",INDEX('Work Master'!$D:$D,$H21))</f>
        <v/>
      </c>
      <c r="D21" s="10" t="str">
        <f aca="false">IF($H21="","",INDEX('Work Master'!$F:$F,$H21))</f>
        <v/>
      </c>
      <c r="E21" s="15" t="str">
        <f aca="false">IF($H21="","",INDEX('Work Master'!$G:$G,$H21))</f>
        <v/>
      </c>
      <c r="F21" s="10" t="str">
        <f aca="false">IF($H21="","",INDEX('Work Master'!$I:$I,$H21))</f>
        <v/>
      </c>
      <c r="H21" s="0" t="str">
        <f aca="false">IFERROR(MATCH(20,'Work Master'!$P:$P,0),"")</f>
        <v/>
      </c>
    </row>
    <row r="22" customFormat="false" ht="15" hidden="false" customHeight="false" outlineLevel="0" collapsed="false">
      <c r="A22" s="10" t="str">
        <f aca="false">IF($H22="","",INDEX('Work Master'!$A:$A,$H22))</f>
        <v/>
      </c>
      <c r="B22" s="10" t="str">
        <f aca="false">IF($H22="","",INDEX('Work Master'!$C:$C,$H22))</f>
        <v/>
      </c>
      <c r="C22" s="10" t="str">
        <f aca="false">IF($H22="","",INDEX('Work Master'!$D:$D,$H22))</f>
        <v/>
      </c>
      <c r="D22" s="10" t="str">
        <f aca="false">IF($H22="","",INDEX('Work Master'!$F:$F,$H22))</f>
        <v/>
      </c>
      <c r="E22" s="15" t="str">
        <f aca="false">IF($H22="","",INDEX('Work Master'!$G:$G,$H22))</f>
        <v/>
      </c>
      <c r="F22" s="10" t="str">
        <f aca="false">IF($H22="","",INDEX('Work Master'!$I:$I,$H22))</f>
        <v/>
      </c>
      <c r="H22" s="0" t="str">
        <f aca="false">IFERROR(MATCH(21,'Work Master'!$P:$P,0),"")</f>
        <v/>
      </c>
    </row>
    <row r="23" customFormat="false" ht="15" hidden="false" customHeight="false" outlineLevel="0" collapsed="false">
      <c r="A23" s="10" t="str">
        <f aca="false">IF($H23="","",INDEX('Work Master'!$A:$A,$H23))</f>
        <v/>
      </c>
      <c r="B23" s="10" t="str">
        <f aca="false">IF($H23="","",INDEX('Work Master'!$C:$C,$H23))</f>
        <v/>
      </c>
      <c r="C23" s="10" t="str">
        <f aca="false">IF($H23="","",INDEX('Work Master'!$D:$D,$H23))</f>
        <v/>
      </c>
      <c r="D23" s="10" t="str">
        <f aca="false">IF($H23="","",INDEX('Work Master'!$F:$F,$H23))</f>
        <v/>
      </c>
      <c r="E23" s="15" t="str">
        <f aca="false">IF($H23="","",INDEX('Work Master'!$G:$G,$H23))</f>
        <v/>
      </c>
      <c r="F23" s="10" t="str">
        <f aca="false">IF($H23="","",INDEX('Work Master'!$I:$I,$H23))</f>
        <v/>
      </c>
      <c r="H23" s="0" t="str">
        <f aca="false">IFERROR(MATCH(22,'Work Master'!$P:$P,0),"")</f>
        <v/>
      </c>
    </row>
    <row r="24" customFormat="false" ht="15" hidden="false" customHeight="false" outlineLevel="0" collapsed="false">
      <c r="A24" s="10" t="str">
        <f aca="false">IF($H24="","",INDEX('Work Master'!$A:$A,$H24))</f>
        <v/>
      </c>
      <c r="B24" s="10" t="str">
        <f aca="false">IF($H24="","",INDEX('Work Master'!$C:$C,$H24))</f>
        <v/>
      </c>
      <c r="C24" s="10" t="str">
        <f aca="false">IF($H24="","",INDEX('Work Master'!$D:$D,$H24))</f>
        <v/>
      </c>
      <c r="D24" s="10" t="str">
        <f aca="false">IF($H24="","",INDEX('Work Master'!$F:$F,$H24))</f>
        <v/>
      </c>
      <c r="E24" s="15" t="str">
        <f aca="false">IF($H24="","",INDEX('Work Master'!$G:$G,$H24))</f>
        <v/>
      </c>
      <c r="F24" s="10" t="str">
        <f aca="false">IF($H24="","",INDEX('Work Master'!$I:$I,$H24))</f>
        <v/>
      </c>
      <c r="H24" s="0" t="str">
        <f aca="false">IFERROR(MATCH(23,'Work Master'!$P:$P,0),"")</f>
        <v/>
      </c>
    </row>
    <row r="25" customFormat="false" ht="15" hidden="false" customHeight="false" outlineLevel="0" collapsed="false">
      <c r="A25" s="10" t="str">
        <f aca="false">IF($H25="","",INDEX('Work Master'!$A:$A,$H25))</f>
        <v/>
      </c>
      <c r="B25" s="10" t="str">
        <f aca="false">IF($H25="","",INDEX('Work Master'!$C:$C,$H25))</f>
        <v/>
      </c>
      <c r="C25" s="10" t="str">
        <f aca="false">IF($H25="","",INDEX('Work Master'!$D:$D,$H25))</f>
        <v/>
      </c>
      <c r="D25" s="10" t="str">
        <f aca="false">IF($H25="","",INDEX('Work Master'!$F:$F,$H25))</f>
        <v/>
      </c>
      <c r="E25" s="15" t="str">
        <f aca="false">IF($H25="","",INDEX('Work Master'!$G:$G,$H25))</f>
        <v/>
      </c>
      <c r="F25" s="10" t="str">
        <f aca="false">IF($H25="","",INDEX('Work Master'!$I:$I,$H25))</f>
        <v/>
      </c>
      <c r="H25" s="0" t="str">
        <f aca="false">IFERROR(MATCH(24,'Work Master'!$P:$P,0),"")</f>
        <v/>
      </c>
    </row>
    <row r="26" customFormat="false" ht="15" hidden="false" customHeight="false" outlineLevel="0" collapsed="false">
      <c r="A26" s="10" t="str">
        <f aca="false">IF($H26="","",INDEX('Work Master'!$A:$A,$H26))</f>
        <v/>
      </c>
      <c r="B26" s="10" t="str">
        <f aca="false">IF($H26="","",INDEX('Work Master'!$C:$C,$H26))</f>
        <v/>
      </c>
      <c r="C26" s="10" t="str">
        <f aca="false">IF($H26="","",INDEX('Work Master'!$D:$D,$H26))</f>
        <v/>
      </c>
      <c r="D26" s="10" t="str">
        <f aca="false">IF($H26="","",INDEX('Work Master'!$F:$F,$H26))</f>
        <v/>
      </c>
      <c r="E26" s="15" t="str">
        <f aca="false">IF($H26="","",INDEX('Work Master'!$G:$G,$H26))</f>
        <v/>
      </c>
      <c r="F26" s="10" t="str">
        <f aca="false">IF($H26="","",INDEX('Work Master'!$I:$I,$H26))</f>
        <v/>
      </c>
      <c r="H26" s="0" t="str">
        <f aca="false">IFERROR(MATCH(25,'Work Master'!$P:$P,0),"")</f>
        <v/>
      </c>
    </row>
    <row r="27" customFormat="false" ht="15" hidden="false" customHeight="false" outlineLevel="0" collapsed="false">
      <c r="A27" s="10" t="str">
        <f aca="false">IF($H27="","",INDEX('Work Master'!$A:$A,$H27))</f>
        <v/>
      </c>
      <c r="B27" s="10" t="str">
        <f aca="false">IF($H27="","",INDEX('Work Master'!$C:$C,$H27))</f>
        <v/>
      </c>
      <c r="C27" s="10" t="str">
        <f aca="false">IF($H27="","",INDEX('Work Master'!$D:$D,$H27))</f>
        <v/>
      </c>
      <c r="D27" s="10" t="str">
        <f aca="false">IF($H27="","",INDEX('Work Master'!$F:$F,$H27))</f>
        <v/>
      </c>
      <c r="E27" s="15" t="str">
        <f aca="false">IF($H27="","",INDEX('Work Master'!$G:$G,$H27))</f>
        <v/>
      </c>
      <c r="F27" s="10" t="str">
        <f aca="false">IF($H27="","",INDEX('Work Master'!$I:$I,$H27))</f>
        <v/>
      </c>
      <c r="H27" s="0" t="str">
        <f aca="false">IFERROR(MATCH(26,'Work Master'!$P:$P,0),"")</f>
        <v/>
      </c>
    </row>
    <row r="28" customFormat="false" ht="15" hidden="false" customHeight="false" outlineLevel="0" collapsed="false">
      <c r="A28" s="10" t="str">
        <f aca="false">IF($H28="","",INDEX('Work Master'!$A:$A,$H28))</f>
        <v/>
      </c>
      <c r="B28" s="10" t="str">
        <f aca="false">IF($H28="","",INDEX('Work Master'!$C:$C,$H28))</f>
        <v/>
      </c>
      <c r="C28" s="10" t="str">
        <f aca="false">IF($H28="","",INDEX('Work Master'!$D:$D,$H28))</f>
        <v/>
      </c>
      <c r="D28" s="10" t="str">
        <f aca="false">IF($H28="","",INDEX('Work Master'!$F:$F,$H28))</f>
        <v/>
      </c>
      <c r="E28" s="15" t="str">
        <f aca="false">IF($H28="","",INDEX('Work Master'!$G:$G,$H28))</f>
        <v/>
      </c>
      <c r="F28" s="10" t="str">
        <f aca="false">IF($H28="","",INDEX('Work Master'!$I:$I,$H28))</f>
        <v/>
      </c>
      <c r="H28" s="0" t="str">
        <f aca="false">IFERROR(MATCH(27,'Work Master'!$P:$P,0),"")</f>
        <v/>
      </c>
    </row>
    <row r="29" customFormat="false" ht="15" hidden="false" customHeight="false" outlineLevel="0" collapsed="false">
      <c r="A29" s="10" t="str">
        <f aca="false">IF($H29="","",INDEX('Work Master'!$A:$A,$H29))</f>
        <v/>
      </c>
      <c r="B29" s="10" t="str">
        <f aca="false">IF($H29="","",INDEX('Work Master'!$C:$C,$H29))</f>
        <v/>
      </c>
      <c r="C29" s="10" t="str">
        <f aca="false">IF($H29="","",INDEX('Work Master'!$D:$D,$H29))</f>
        <v/>
      </c>
      <c r="D29" s="10" t="str">
        <f aca="false">IF($H29="","",INDEX('Work Master'!$F:$F,$H29))</f>
        <v/>
      </c>
      <c r="E29" s="15" t="str">
        <f aca="false">IF($H29="","",INDEX('Work Master'!$G:$G,$H29))</f>
        <v/>
      </c>
      <c r="F29" s="10" t="str">
        <f aca="false">IF($H29="","",INDEX('Work Master'!$I:$I,$H29))</f>
        <v/>
      </c>
      <c r="H29" s="0" t="str">
        <f aca="false">IFERROR(MATCH(28,'Work Master'!$P:$P,0),"")</f>
        <v/>
      </c>
    </row>
    <row r="30" customFormat="false" ht="15" hidden="false" customHeight="false" outlineLevel="0" collapsed="false">
      <c r="A30" s="10" t="str">
        <f aca="false">IF($H30="","",INDEX('Work Master'!$A:$A,$H30))</f>
        <v/>
      </c>
      <c r="B30" s="10" t="str">
        <f aca="false">IF($H30="","",INDEX('Work Master'!$C:$C,$H30))</f>
        <v/>
      </c>
      <c r="C30" s="10" t="str">
        <f aca="false">IF($H30="","",INDEX('Work Master'!$D:$D,$H30))</f>
        <v/>
      </c>
      <c r="D30" s="10" t="str">
        <f aca="false">IF($H30="","",INDEX('Work Master'!$F:$F,$H30))</f>
        <v/>
      </c>
      <c r="E30" s="15" t="str">
        <f aca="false">IF($H30="","",INDEX('Work Master'!$G:$G,$H30))</f>
        <v/>
      </c>
      <c r="F30" s="10" t="str">
        <f aca="false">IF($H30="","",INDEX('Work Master'!$I:$I,$H30))</f>
        <v/>
      </c>
      <c r="H30" s="0" t="str">
        <f aca="false">IFERROR(MATCH(29,'Work Master'!$P:$P,0),"")</f>
        <v/>
      </c>
    </row>
    <row r="31" customFormat="false" ht="15" hidden="false" customHeight="false" outlineLevel="0" collapsed="false">
      <c r="A31" s="10" t="str">
        <f aca="false">IF($H31="","",INDEX('Work Master'!$A:$A,$H31))</f>
        <v/>
      </c>
      <c r="B31" s="10" t="str">
        <f aca="false">IF($H31="","",INDEX('Work Master'!$C:$C,$H31))</f>
        <v/>
      </c>
      <c r="C31" s="10" t="str">
        <f aca="false">IF($H31="","",INDEX('Work Master'!$D:$D,$H31))</f>
        <v/>
      </c>
      <c r="D31" s="10" t="str">
        <f aca="false">IF($H31="","",INDEX('Work Master'!$F:$F,$H31))</f>
        <v/>
      </c>
      <c r="E31" s="15" t="str">
        <f aca="false">IF($H31="","",INDEX('Work Master'!$G:$G,$H31))</f>
        <v/>
      </c>
      <c r="F31" s="10" t="str">
        <f aca="false">IF($H31="","",INDEX('Work Master'!$I:$I,$H31))</f>
        <v/>
      </c>
      <c r="H31" s="0" t="str">
        <f aca="false">IFERROR(MATCH(30,'Work Master'!$P:$P,0),"")</f>
        <v/>
      </c>
    </row>
    <row r="32" customFormat="false" ht="15" hidden="false" customHeight="false" outlineLevel="0" collapsed="false">
      <c r="A32" s="10" t="str">
        <f aca="false">IF($H32="","",INDEX('Work Master'!$A:$A,$H32))</f>
        <v/>
      </c>
      <c r="B32" s="10" t="str">
        <f aca="false">IF($H32="","",INDEX('Work Master'!$C:$C,$H32))</f>
        <v/>
      </c>
      <c r="C32" s="10" t="str">
        <f aca="false">IF($H32="","",INDEX('Work Master'!$D:$D,$H32))</f>
        <v/>
      </c>
      <c r="D32" s="10" t="str">
        <f aca="false">IF($H32="","",INDEX('Work Master'!$F:$F,$H32))</f>
        <v/>
      </c>
      <c r="E32" s="15" t="str">
        <f aca="false">IF($H32="","",INDEX('Work Master'!$G:$G,$H32))</f>
        <v/>
      </c>
      <c r="F32" s="10" t="str">
        <f aca="false">IF($H32="","",INDEX('Work Master'!$I:$I,$H32))</f>
        <v/>
      </c>
      <c r="H32" s="0" t="str">
        <f aca="false">IFERROR(MATCH(31,'Work Master'!$P:$P,0),"")</f>
        <v/>
      </c>
    </row>
    <row r="33" customFormat="false" ht="15" hidden="false" customHeight="false" outlineLevel="0" collapsed="false">
      <c r="A33" s="10" t="str">
        <f aca="false">IF($H33="","",INDEX('Work Master'!$A:$A,$H33))</f>
        <v/>
      </c>
      <c r="B33" s="10" t="str">
        <f aca="false">IF($H33="","",INDEX('Work Master'!$C:$C,$H33))</f>
        <v/>
      </c>
      <c r="C33" s="10" t="str">
        <f aca="false">IF($H33="","",INDEX('Work Master'!$D:$D,$H33))</f>
        <v/>
      </c>
      <c r="D33" s="10" t="str">
        <f aca="false">IF($H33="","",INDEX('Work Master'!$F:$F,$H33))</f>
        <v/>
      </c>
      <c r="E33" s="15" t="str">
        <f aca="false">IF($H33="","",INDEX('Work Master'!$G:$G,$H33))</f>
        <v/>
      </c>
      <c r="F33" s="10" t="str">
        <f aca="false">IF($H33="","",INDEX('Work Master'!$I:$I,$H33))</f>
        <v/>
      </c>
      <c r="H33" s="0" t="str">
        <f aca="false">IFERROR(MATCH(32,'Work Master'!$P:$P,0),"")</f>
        <v/>
      </c>
    </row>
    <row r="34" customFormat="false" ht="15" hidden="false" customHeight="false" outlineLevel="0" collapsed="false">
      <c r="A34" s="10" t="str">
        <f aca="false">IF($H34="","",INDEX('Work Master'!$A:$A,$H34))</f>
        <v/>
      </c>
      <c r="B34" s="10" t="str">
        <f aca="false">IF($H34="","",INDEX('Work Master'!$C:$C,$H34))</f>
        <v/>
      </c>
      <c r="C34" s="10" t="str">
        <f aca="false">IF($H34="","",INDEX('Work Master'!$D:$D,$H34))</f>
        <v/>
      </c>
      <c r="D34" s="10" t="str">
        <f aca="false">IF($H34="","",INDEX('Work Master'!$F:$F,$H34))</f>
        <v/>
      </c>
      <c r="E34" s="15" t="str">
        <f aca="false">IF($H34="","",INDEX('Work Master'!$G:$G,$H34))</f>
        <v/>
      </c>
      <c r="F34" s="10" t="str">
        <f aca="false">IF($H34="","",INDEX('Work Master'!$I:$I,$H34))</f>
        <v/>
      </c>
      <c r="H34" s="0" t="str">
        <f aca="false">IFERROR(MATCH(33,'Work Master'!$P:$P,0),"")</f>
        <v/>
      </c>
    </row>
    <row r="35" customFormat="false" ht="15" hidden="false" customHeight="false" outlineLevel="0" collapsed="false">
      <c r="A35" s="10" t="str">
        <f aca="false">IF($H35="","",INDEX('Work Master'!$A:$A,$H35))</f>
        <v/>
      </c>
      <c r="B35" s="10" t="str">
        <f aca="false">IF($H35="","",INDEX('Work Master'!$C:$C,$H35))</f>
        <v/>
      </c>
      <c r="C35" s="10" t="str">
        <f aca="false">IF($H35="","",INDEX('Work Master'!$D:$D,$H35))</f>
        <v/>
      </c>
      <c r="D35" s="10" t="str">
        <f aca="false">IF($H35="","",INDEX('Work Master'!$F:$F,$H35))</f>
        <v/>
      </c>
      <c r="E35" s="15" t="str">
        <f aca="false">IF($H35="","",INDEX('Work Master'!$G:$G,$H35))</f>
        <v/>
      </c>
      <c r="F35" s="10" t="str">
        <f aca="false">IF($H35="","",INDEX('Work Master'!$I:$I,$H35))</f>
        <v/>
      </c>
      <c r="H35" s="0" t="str">
        <f aca="false">IFERROR(MATCH(34,'Work Master'!$P:$P,0),"")</f>
        <v/>
      </c>
    </row>
    <row r="36" customFormat="false" ht="15" hidden="false" customHeight="false" outlineLevel="0" collapsed="false">
      <c r="A36" s="10" t="str">
        <f aca="false">IF($H36="","",INDEX('Work Master'!$A:$A,$H36))</f>
        <v/>
      </c>
      <c r="B36" s="10" t="str">
        <f aca="false">IF($H36="","",INDEX('Work Master'!$C:$C,$H36))</f>
        <v/>
      </c>
      <c r="C36" s="10" t="str">
        <f aca="false">IF($H36="","",INDEX('Work Master'!$D:$D,$H36))</f>
        <v/>
      </c>
      <c r="D36" s="10" t="str">
        <f aca="false">IF($H36="","",INDEX('Work Master'!$F:$F,$H36))</f>
        <v/>
      </c>
      <c r="E36" s="15" t="str">
        <f aca="false">IF($H36="","",INDEX('Work Master'!$G:$G,$H36))</f>
        <v/>
      </c>
      <c r="F36" s="10" t="str">
        <f aca="false">IF($H36="","",INDEX('Work Master'!$I:$I,$H36))</f>
        <v/>
      </c>
      <c r="H36" s="0" t="str">
        <f aca="false">IFERROR(MATCH(35,'Work Master'!$P:$P,0),"")</f>
        <v/>
      </c>
    </row>
    <row r="37" customFormat="false" ht="15" hidden="false" customHeight="false" outlineLevel="0" collapsed="false">
      <c r="A37" s="10" t="str">
        <f aca="false">IF($H37="","",INDEX('Work Master'!$A:$A,$H37))</f>
        <v/>
      </c>
      <c r="B37" s="10" t="str">
        <f aca="false">IF($H37="","",INDEX('Work Master'!$C:$C,$H37))</f>
        <v/>
      </c>
      <c r="C37" s="10" t="str">
        <f aca="false">IF($H37="","",INDEX('Work Master'!$D:$D,$H37))</f>
        <v/>
      </c>
      <c r="D37" s="10" t="str">
        <f aca="false">IF($H37="","",INDEX('Work Master'!$F:$F,$H37))</f>
        <v/>
      </c>
      <c r="E37" s="15" t="str">
        <f aca="false">IF($H37="","",INDEX('Work Master'!$G:$G,$H37))</f>
        <v/>
      </c>
      <c r="F37" s="10" t="str">
        <f aca="false">IF($H37="","",INDEX('Work Master'!$I:$I,$H37))</f>
        <v/>
      </c>
      <c r="H37" s="0" t="str">
        <f aca="false">IFERROR(MATCH(36,'Work Master'!$P:$P,0),"")</f>
        <v/>
      </c>
    </row>
    <row r="38" customFormat="false" ht="15" hidden="false" customHeight="false" outlineLevel="0" collapsed="false">
      <c r="A38" s="10" t="str">
        <f aca="false">IF($H38="","",INDEX('Work Master'!$A:$A,$H38))</f>
        <v/>
      </c>
      <c r="B38" s="10" t="str">
        <f aca="false">IF($H38="","",INDEX('Work Master'!$C:$C,$H38))</f>
        <v/>
      </c>
      <c r="C38" s="10" t="str">
        <f aca="false">IF($H38="","",INDEX('Work Master'!$D:$D,$H38))</f>
        <v/>
      </c>
      <c r="D38" s="10" t="str">
        <f aca="false">IF($H38="","",INDEX('Work Master'!$F:$F,$H38))</f>
        <v/>
      </c>
      <c r="E38" s="15" t="str">
        <f aca="false">IF($H38="","",INDEX('Work Master'!$G:$G,$H38))</f>
        <v/>
      </c>
      <c r="F38" s="10" t="str">
        <f aca="false">IF($H38="","",INDEX('Work Master'!$I:$I,$H38))</f>
        <v/>
      </c>
      <c r="H38" s="0" t="str">
        <f aca="false">IFERROR(MATCH(37,'Work Master'!$P:$P,0),"")</f>
        <v/>
      </c>
    </row>
    <row r="39" customFormat="false" ht="15" hidden="false" customHeight="false" outlineLevel="0" collapsed="false">
      <c r="A39" s="10" t="str">
        <f aca="false">IF($H39="","",INDEX('Work Master'!$A:$A,$H39))</f>
        <v/>
      </c>
      <c r="B39" s="10" t="str">
        <f aca="false">IF($H39="","",INDEX('Work Master'!$C:$C,$H39))</f>
        <v/>
      </c>
      <c r="C39" s="10" t="str">
        <f aca="false">IF($H39="","",INDEX('Work Master'!$D:$D,$H39))</f>
        <v/>
      </c>
      <c r="D39" s="10" t="str">
        <f aca="false">IF($H39="","",INDEX('Work Master'!$F:$F,$H39))</f>
        <v/>
      </c>
      <c r="E39" s="15" t="str">
        <f aca="false">IF($H39="","",INDEX('Work Master'!$G:$G,$H39))</f>
        <v/>
      </c>
      <c r="F39" s="10" t="str">
        <f aca="false">IF($H39="","",INDEX('Work Master'!$I:$I,$H39))</f>
        <v/>
      </c>
      <c r="H39" s="0" t="str">
        <f aca="false">IFERROR(MATCH(38,'Work Master'!$P:$P,0),"")</f>
        <v/>
      </c>
    </row>
    <row r="40" customFormat="false" ht="15" hidden="false" customHeight="false" outlineLevel="0" collapsed="false">
      <c r="A40" s="10" t="str">
        <f aca="false">IF($H40="","",INDEX('Work Master'!$A:$A,$H40))</f>
        <v/>
      </c>
      <c r="B40" s="10" t="str">
        <f aca="false">IF($H40="","",INDEX('Work Master'!$C:$C,$H40))</f>
        <v/>
      </c>
      <c r="C40" s="10" t="str">
        <f aca="false">IF($H40="","",INDEX('Work Master'!$D:$D,$H40))</f>
        <v/>
      </c>
      <c r="D40" s="10" t="str">
        <f aca="false">IF($H40="","",INDEX('Work Master'!$F:$F,$H40))</f>
        <v/>
      </c>
      <c r="E40" s="15" t="str">
        <f aca="false">IF($H40="","",INDEX('Work Master'!$G:$G,$H40))</f>
        <v/>
      </c>
      <c r="F40" s="10" t="str">
        <f aca="false">IF($H40="","",INDEX('Work Master'!$I:$I,$H40))</f>
        <v/>
      </c>
      <c r="H40" s="0" t="str">
        <f aca="false">IFERROR(MATCH(39,'Work Master'!$P:$P,0),"")</f>
        <v/>
      </c>
    </row>
    <row r="41" customFormat="false" ht="15" hidden="false" customHeight="false" outlineLevel="0" collapsed="false">
      <c r="A41" s="10" t="str">
        <f aca="false">IF($H41="","",INDEX('Work Master'!$A:$A,$H41))</f>
        <v/>
      </c>
      <c r="B41" s="10" t="str">
        <f aca="false">IF($H41="","",INDEX('Work Master'!$C:$C,$H41))</f>
        <v/>
      </c>
      <c r="C41" s="10" t="str">
        <f aca="false">IF($H41="","",INDEX('Work Master'!$D:$D,$H41))</f>
        <v/>
      </c>
      <c r="D41" s="10" t="str">
        <f aca="false">IF($H41="","",INDEX('Work Master'!$F:$F,$H41))</f>
        <v/>
      </c>
      <c r="E41" s="15" t="str">
        <f aca="false">IF($H41="","",INDEX('Work Master'!$G:$G,$H41))</f>
        <v/>
      </c>
      <c r="F41" s="10" t="str">
        <f aca="false">IF($H41="","",INDEX('Work Master'!$I:$I,$H41))</f>
        <v/>
      </c>
      <c r="H41" s="0" t="str">
        <f aca="false">IFERROR(MATCH(40,'Work Master'!$P:$P,0),"")</f>
        <v/>
      </c>
    </row>
    <row r="42" customFormat="false" ht="15" hidden="false" customHeight="false" outlineLevel="0" collapsed="false">
      <c r="A42" s="10" t="str">
        <f aca="false">IF($H42="","",INDEX('Work Master'!$A:$A,$H42))</f>
        <v/>
      </c>
      <c r="B42" s="10" t="str">
        <f aca="false">IF($H42="","",INDEX('Work Master'!$C:$C,$H42))</f>
        <v/>
      </c>
      <c r="C42" s="10" t="str">
        <f aca="false">IF($H42="","",INDEX('Work Master'!$D:$D,$H42))</f>
        <v/>
      </c>
      <c r="D42" s="10" t="str">
        <f aca="false">IF($H42="","",INDEX('Work Master'!$F:$F,$H42))</f>
        <v/>
      </c>
      <c r="E42" s="15" t="str">
        <f aca="false">IF($H42="","",INDEX('Work Master'!$G:$G,$H42))</f>
        <v/>
      </c>
      <c r="F42" s="10" t="str">
        <f aca="false">IF($H42="","",INDEX('Work Master'!$I:$I,$H42))</f>
        <v/>
      </c>
      <c r="H42" s="0" t="str">
        <f aca="false">IFERROR(MATCH(41,'Work Master'!$P:$P,0),"")</f>
        <v/>
      </c>
    </row>
    <row r="43" customFormat="false" ht="15" hidden="false" customHeight="false" outlineLevel="0" collapsed="false">
      <c r="A43" s="10" t="str">
        <f aca="false">IF($H43="","",INDEX('Work Master'!$A:$A,$H43))</f>
        <v/>
      </c>
      <c r="B43" s="10" t="str">
        <f aca="false">IF($H43="","",INDEX('Work Master'!$C:$C,$H43))</f>
        <v/>
      </c>
      <c r="C43" s="10" t="str">
        <f aca="false">IF($H43="","",INDEX('Work Master'!$D:$D,$H43))</f>
        <v/>
      </c>
      <c r="D43" s="10" t="str">
        <f aca="false">IF($H43="","",INDEX('Work Master'!$F:$F,$H43))</f>
        <v/>
      </c>
      <c r="E43" s="15" t="str">
        <f aca="false">IF($H43="","",INDEX('Work Master'!$G:$G,$H43))</f>
        <v/>
      </c>
      <c r="F43" s="10" t="str">
        <f aca="false">IF($H43="","",INDEX('Work Master'!$I:$I,$H43))</f>
        <v/>
      </c>
      <c r="H43" s="0" t="str">
        <f aca="false">IFERROR(MATCH(42,'Work Master'!$P:$P,0),"")</f>
        <v/>
      </c>
    </row>
    <row r="44" customFormat="false" ht="15" hidden="false" customHeight="false" outlineLevel="0" collapsed="false">
      <c r="A44" s="10" t="str">
        <f aca="false">IF($H44="","",INDEX('Work Master'!$A:$A,$H44))</f>
        <v/>
      </c>
      <c r="B44" s="10" t="str">
        <f aca="false">IF($H44="","",INDEX('Work Master'!$C:$C,$H44))</f>
        <v/>
      </c>
      <c r="C44" s="10" t="str">
        <f aca="false">IF($H44="","",INDEX('Work Master'!$D:$D,$H44))</f>
        <v/>
      </c>
      <c r="D44" s="10" t="str">
        <f aca="false">IF($H44="","",INDEX('Work Master'!$F:$F,$H44))</f>
        <v/>
      </c>
      <c r="E44" s="15" t="str">
        <f aca="false">IF($H44="","",INDEX('Work Master'!$G:$G,$H44))</f>
        <v/>
      </c>
      <c r="F44" s="10" t="str">
        <f aca="false">IF($H44="","",INDEX('Work Master'!$I:$I,$H44))</f>
        <v/>
      </c>
      <c r="H44" s="0" t="str">
        <f aca="false">IFERROR(MATCH(43,'Work Master'!$P:$P,0),"")</f>
        <v/>
      </c>
    </row>
    <row r="45" customFormat="false" ht="15" hidden="false" customHeight="false" outlineLevel="0" collapsed="false">
      <c r="A45" s="10" t="str">
        <f aca="false">IF($H45="","",INDEX('Work Master'!$A:$A,$H45))</f>
        <v/>
      </c>
      <c r="B45" s="10" t="str">
        <f aca="false">IF($H45="","",INDEX('Work Master'!$C:$C,$H45))</f>
        <v/>
      </c>
      <c r="C45" s="10" t="str">
        <f aca="false">IF($H45="","",INDEX('Work Master'!$D:$D,$H45))</f>
        <v/>
      </c>
      <c r="D45" s="10" t="str">
        <f aca="false">IF($H45="","",INDEX('Work Master'!$F:$F,$H45))</f>
        <v/>
      </c>
      <c r="E45" s="15" t="str">
        <f aca="false">IF($H45="","",INDEX('Work Master'!$G:$G,$H45))</f>
        <v/>
      </c>
      <c r="F45" s="10" t="str">
        <f aca="false">IF($H45="","",INDEX('Work Master'!$I:$I,$H45))</f>
        <v/>
      </c>
      <c r="H45" s="0" t="str">
        <f aca="false">IFERROR(MATCH(44,'Work Master'!$P:$P,0),"")</f>
        <v/>
      </c>
    </row>
    <row r="46" customFormat="false" ht="15" hidden="false" customHeight="false" outlineLevel="0" collapsed="false">
      <c r="A46" s="10" t="str">
        <f aca="false">IF($H46="","",INDEX('Work Master'!$A:$A,$H46))</f>
        <v/>
      </c>
      <c r="B46" s="10" t="str">
        <f aca="false">IF($H46="","",INDEX('Work Master'!$C:$C,$H46))</f>
        <v/>
      </c>
      <c r="C46" s="10" t="str">
        <f aca="false">IF($H46="","",INDEX('Work Master'!$D:$D,$H46))</f>
        <v/>
      </c>
      <c r="D46" s="10" t="str">
        <f aca="false">IF($H46="","",INDEX('Work Master'!$F:$F,$H46))</f>
        <v/>
      </c>
      <c r="E46" s="15" t="str">
        <f aca="false">IF($H46="","",INDEX('Work Master'!$G:$G,$H46))</f>
        <v/>
      </c>
      <c r="F46" s="10" t="str">
        <f aca="false">IF($H46="","",INDEX('Work Master'!$I:$I,$H46))</f>
        <v/>
      </c>
      <c r="H46" s="0" t="str">
        <f aca="false">IFERROR(MATCH(45,'Work Master'!$P:$P,0),"")</f>
        <v/>
      </c>
    </row>
    <row r="47" customFormat="false" ht="15" hidden="false" customHeight="false" outlineLevel="0" collapsed="false">
      <c r="A47" s="10" t="str">
        <f aca="false">IF($H47="","",INDEX('Work Master'!$A:$A,$H47))</f>
        <v/>
      </c>
      <c r="B47" s="10" t="str">
        <f aca="false">IF($H47="","",INDEX('Work Master'!$C:$C,$H47))</f>
        <v/>
      </c>
      <c r="C47" s="10" t="str">
        <f aca="false">IF($H47="","",INDEX('Work Master'!$D:$D,$H47))</f>
        <v/>
      </c>
      <c r="D47" s="10" t="str">
        <f aca="false">IF($H47="","",INDEX('Work Master'!$F:$F,$H47))</f>
        <v/>
      </c>
      <c r="E47" s="15" t="str">
        <f aca="false">IF($H47="","",INDEX('Work Master'!$G:$G,$H47))</f>
        <v/>
      </c>
      <c r="F47" s="10" t="str">
        <f aca="false">IF($H47="","",INDEX('Work Master'!$I:$I,$H47))</f>
        <v/>
      </c>
      <c r="H47" s="0" t="str">
        <f aca="false">IFERROR(MATCH(46,'Work Master'!$P:$P,0),"")</f>
        <v/>
      </c>
    </row>
    <row r="48" customFormat="false" ht="15" hidden="false" customHeight="false" outlineLevel="0" collapsed="false">
      <c r="A48" s="10" t="str">
        <f aca="false">IF($H48="","",INDEX('Work Master'!$A:$A,$H48))</f>
        <v/>
      </c>
      <c r="B48" s="10" t="str">
        <f aca="false">IF($H48="","",INDEX('Work Master'!$C:$C,$H48))</f>
        <v/>
      </c>
      <c r="C48" s="10" t="str">
        <f aca="false">IF($H48="","",INDEX('Work Master'!$D:$D,$H48))</f>
        <v/>
      </c>
      <c r="D48" s="10" t="str">
        <f aca="false">IF($H48="","",INDEX('Work Master'!$F:$F,$H48))</f>
        <v/>
      </c>
      <c r="E48" s="15" t="str">
        <f aca="false">IF($H48="","",INDEX('Work Master'!$G:$G,$H48))</f>
        <v/>
      </c>
      <c r="F48" s="10" t="str">
        <f aca="false">IF($H48="","",INDEX('Work Master'!$I:$I,$H48))</f>
        <v/>
      </c>
      <c r="H48" s="0" t="str">
        <f aca="false">IFERROR(MATCH(47,'Work Master'!$P:$P,0),"")</f>
        <v/>
      </c>
    </row>
    <row r="49" customFormat="false" ht="15" hidden="false" customHeight="false" outlineLevel="0" collapsed="false">
      <c r="A49" s="10" t="str">
        <f aca="false">IF($H49="","",INDEX('Work Master'!$A:$A,$H49))</f>
        <v/>
      </c>
      <c r="B49" s="10" t="str">
        <f aca="false">IF($H49="","",INDEX('Work Master'!$C:$C,$H49))</f>
        <v/>
      </c>
      <c r="C49" s="10" t="str">
        <f aca="false">IF($H49="","",INDEX('Work Master'!$D:$D,$H49))</f>
        <v/>
      </c>
      <c r="D49" s="10" t="str">
        <f aca="false">IF($H49="","",INDEX('Work Master'!$F:$F,$H49))</f>
        <v/>
      </c>
      <c r="E49" s="15" t="str">
        <f aca="false">IF($H49="","",INDEX('Work Master'!$G:$G,$H49))</f>
        <v/>
      </c>
      <c r="F49" s="10" t="str">
        <f aca="false">IF($H49="","",INDEX('Work Master'!$I:$I,$H49))</f>
        <v/>
      </c>
      <c r="H49" s="0" t="str">
        <f aca="false">IFERROR(MATCH(48,'Work Master'!$P:$P,0),"")</f>
        <v/>
      </c>
    </row>
    <row r="50" customFormat="false" ht="15" hidden="false" customHeight="false" outlineLevel="0" collapsed="false">
      <c r="A50" s="10" t="str">
        <f aca="false">IF($H50="","",INDEX('Work Master'!$A:$A,$H50))</f>
        <v/>
      </c>
      <c r="B50" s="10" t="str">
        <f aca="false">IF($H50="","",INDEX('Work Master'!$C:$C,$H50))</f>
        <v/>
      </c>
      <c r="C50" s="10" t="str">
        <f aca="false">IF($H50="","",INDEX('Work Master'!$D:$D,$H50))</f>
        <v/>
      </c>
      <c r="D50" s="10" t="str">
        <f aca="false">IF($H50="","",INDEX('Work Master'!$F:$F,$H50))</f>
        <v/>
      </c>
      <c r="E50" s="15" t="str">
        <f aca="false">IF($H50="","",INDEX('Work Master'!$G:$G,$H50))</f>
        <v/>
      </c>
      <c r="F50" s="10" t="str">
        <f aca="false">IF($H50="","",INDEX('Work Master'!$I:$I,$H50))</f>
        <v/>
      </c>
      <c r="H50" s="0" t="str">
        <f aca="false">IFERROR(MATCH(49,'Work Master'!$P:$P,0),"")</f>
        <v/>
      </c>
    </row>
    <row r="51" customFormat="false" ht="15" hidden="false" customHeight="false" outlineLevel="0" collapsed="false">
      <c r="A51" s="10" t="str">
        <f aca="false">IF($H51="","",INDEX('Work Master'!$A:$A,$H51))</f>
        <v/>
      </c>
      <c r="B51" s="10" t="str">
        <f aca="false">IF($H51="","",INDEX('Work Master'!$C:$C,$H51))</f>
        <v/>
      </c>
      <c r="C51" s="10" t="str">
        <f aca="false">IF($H51="","",INDEX('Work Master'!$D:$D,$H51))</f>
        <v/>
      </c>
      <c r="D51" s="10" t="str">
        <f aca="false">IF($H51="","",INDEX('Work Master'!$F:$F,$H51))</f>
        <v/>
      </c>
      <c r="E51" s="15" t="str">
        <f aca="false">IF($H51="","",INDEX('Work Master'!$G:$G,$H51))</f>
        <v/>
      </c>
      <c r="F51" s="10" t="str">
        <f aca="false">IF($H51="","",INDEX('Work Master'!$I:$I,$H51))</f>
        <v/>
      </c>
      <c r="H51" s="0" t="str">
        <f aca="false">IFERROR(MATCH(50,'Work Master'!$P:$P,0),"")</f>
        <v/>
      </c>
    </row>
    <row r="52" customFormat="false" ht="15" hidden="false" customHeight="false" outlineLevel="0" collapsed="false">
      <c r="A52" s="10" t="str">
        <f aca="false">IF($H52="","",INDEX('Work Master'!$A:$A,$H52))</f>
        <v/>
      </c>
      <c r="B52" s="10" t="str">
        <f aca="false">IF($H52="","",INDEX('Work Master'!$C:$C,$H52))</f>
        <v/>
      </c>
      <c r="C52" s="10" t="str">
        <f aca="false">IF($H52="","",INDEX('Work Master'!$D:$D,$H52))</f>
        <v/>
      </c>
      <c r="D52" s="10" t="str">
        <f aca="false">IF($H52="","",INDEX('Work Master'!$F:$F,$H52))</f>
        <v/>
      </c>
      <c r="E52" s="15" t="str">
        <f aca="false">IF($H52="","",INDEX('Work Master'!$G:$G,$H52))</f>
        <v/>
      </c>
      <c r="F52" s="10" t="str">
        <f aca="false">IF($H52="","",INDEX('Work Master'!$I:$I,$H52))</f>
        <v/>
      </c>
      <c r="H52" s="0" t="str">
        <f aca="false">IFERROR(MATCH(51,'Work Master'!$P:$P,0),"")</f>
        <v/>
      </c>
    </row>
    <row r="53" customFormat="false" ht="15" hidden="false" customHeight="false" outlineLevel="0" collapsed="false">
      <c r="A53" s="10" t="str">
        <f aca="false">IF($H53="","",INDEX('Work Master'!$A:$A,$H53))</f>
        <v/>
      </c>
      <c r="B53" s="10" t="str">
        <f aca="false">IF($H53="","",INDEX('Work Master'!$C:$C,$H53))</f>
        <v/>
      </c>
      <c r="C53" s="10" t="str">
        <f aca="false">IF($H53="","",INDEX('Work Master'!$D:$D,$H53))</f>
        <v/>
      </c>
      <c r="D53" s="10" t="str">
        <f aca="false">IF($H53="","",INDEX('Work Master'!$F:$F,$H53))</f>
        <v/>
      </c>
      <c r="E53" s="15" t="str">
        <f aca="false">IF($H53="","",INDEX('Work Master'!$G:$G,$H53))</f>
        <v/>
      </c>
      <c r="F53" s="10" t="str">
        <f aca="false">IF($H53="","",INDEX('Work Master'!$I:$I,$H53))</f>
        <v/>
      </c>
      <c r="H53" s="0" t="str">
        <f aca="false">IFERROR(MATCH(52,'Work Master'!$P:$P,0),"")</f>
        <v/>
      </c>
    </row>
    <row r="54" customFormat="false" ht="15" hidden="false" customHeight="false" outlineLevel="0" collapsed="false">
      <c r="A54" s="10" t="str">
        <f aca="false">IF($H54="","",INDEX('Work Master'!$A:$A,$H54))</f>
        <v/>
      </c>
      <c r="B54" s="10" t="str">
        <f aca="false">IF($H54="","",INDEX('Work Master'!$C:$C,$H54))</f>
        <v/>
      </c>
      <c r="C54" s="10" t="str">
        <f aca="false">IF($H54="","",INDEX('Work Master'!$D:$D,$H54))</f>
        <v/>
      </c>
      <c r="D54" s="10" t="str">
        <f aca="false">IF($H54="","",INDEX('Work Master'!$F:$F,$H54))</f>
        <v/>
      </c>
      <c r="E54" s="15" t="str">
        <f aca="false">IF($H54="","",INDEX('Work Master'!$G:$G,$H54))</f>
        <v/>
      </c>
      <c r="F54" s="10" t="str">
        <f aca="false">IF($H54="","",INDEX('Work Master'!$I:$I,$H54))</f>
        <v/>
      </c>
      <c r="H54" s="0" t="str">
        <f aca="false">IFERROR(MATCH(53,'Work Master'!$P:$P,0),"")</f>
        <v/>
      </c>
    </row>
    <row r="55" customFormat="false" ht="15" hidden="false" customHeight="false" outlineLevel="0" collapsed="false">
      <c r="A55" s="10" t="str">
        <f aca="false">IF($H55="","",INDEX('Work Master'!$A:$A,$H55))</f>
        <v/>
      </c>
      <c r="B55" s="10" t="str">
        <f aca="false">IF($H55="","",INDEX('Work Master'!$C:$C,$H55))</f>
        <v/>
      </c>
      <c r="C55" s="10" t="str">
        <f aca="false">IF($H55="","",INDEX('Work Master'!$D:$D,$H55))</f>
        <v/>
      </c>
      <c r="D55" s="10" t="str">
        <f aca="false">IF($H55="","",INDEX('Work Master'!$F:$F,$H55))</f>
        <v/>
      </c>
      <c r="E55" s="15" t="str">
        <f aca="false">IF($H55="","",INDEX('Work Master'!$G:$G,$H55))</f>
        <v/>
      </c>
      <c r="F55" s="10" t="str">
        <f aca="false">IF($H55="","",INDEX('Work Master'!$I:$I,$H55))</f>
        <v/>
      </c>
      <c r="H55" s="0" t="str">
        <f aca="false">IFERROR(MATCH(54,'Work Master'!$P:$P,0),"")</f>
        <v/>
      </c>
    </row>
    <row r="56" customFormat="false" ht="15" hidden="false" customHeight="false" outlineLevel="0" collapsed="false">
      <c r="A56" s="10" t="str">
        <f aca="false">IF($H56="","",INDEX('Work Master'!$A:$A,$H56))</f>
        <v/>
      </c>
      <c r="B56" s="10" t="str">
        <f aca="false">IF($H56="","",INDEX('Work Master'!$C:$C,$H56))</f>
        <v/>
      </c>
      <c r="C56" s="10" t="str">
        <f aca="false">IF($H56="","",INDEX('Work Master'!$D:$D,$H56))</f>
        <v/>
      </c>
      <c r="D56" s="10" t="str">
        <f aca="false">IF($H56="","",INDEX('Work Master'!$F:$F,$H56))</f>
        <v/>
      </c>
      <c r="E56" s="15" t="str">
        <f aca="false">IF($H56="","",INDEX('Work Master'!$G:$G,$H56))</f>
        <v/>
      </c>
      <c r="F56" s="10" t="str">
        <f aca="false">IF($H56="","",INDEX('Work Master'!$I:$I,$H56))</f>
        <v/>
      </c>
      <c r="H56" s="0" t="str">
        <f aca="false">IFERROR(MATCH(55,'Work Master'!$P:$P,0),"")</f>
        <v/>
      </c>
    </row>
    <row r="57" customFormat="false" ht="15" hidden="false" customHeight="false" outlineLevel="0" collapsed="false">
      <c r="A57" s="10" t="str">
        <f aca="false">IF($H57="","",INDEX('Work Master'!$A:$A,$H57))</f>
        <v/>
      </c>
      <c r="B57" s="10" t="str">
        <f aca="false">IF($H57="","",INDEX('Work Master'!$C:$C,$H57))</f>
        <v/>
      </c>
      <c r="C57" s="10" t="str">
        <f aca="false">IF($H57="","",INDEX('Work Master'!$D:$D,$H57))</f>
        <v/>
      </c>
      <c r="D57" s="10" t="str">
        <f aca="false">IF($H57="","",INDEX('Work Master'!$F:$F,$H57))</f>
        <v/>
      </c>
      <c r="E57" s="15" t="str">
        <f aca="false">IF($H57="","",INDEX('Work Master'!$G:$G,$H57))</f>
        <v/>
      </c>
      <c r="F57" s="10" t="str">
        <f aca="false">IF($H57="","",INDEX('Work Master'!$I:$I,$H57))</f>
        <v/>
      </c>
      <c r="H57" s="0" t="str">
        <f aca="false">IFERROR(MATCH(56,'Work Master'!$P:$P,0),"")</f>
        <v/>
      </c>
    </row>
    <row r="58" customFormat="false" ht="15" hidden="false" customHeight="false" outlineLevel="0" collapsed="false">
      <c r="A58" s="10" t="str">
        <f aca="false">IF($H58="","",INDEX('Work Master'!$A:$A,$H58))</f>
        <v/>
      </c>
      <c r="B58" s="10" t="str">
        <f aca="false">IF($H58="","",INDEX('Work Master'!$C:$C,$H58))</f>
        <v/>
      </c>
      <c r="C58" s="10" t="str">
        <f aca="false">IF($H58="","",INDEX('Work Master'!$D:$D,$H58))</f>
        <v/>
      </c>
      <c r="D58" s="10" t="str">
        <f aca="false">IF($H58="","",INDEX('Work Master'!$F:$F,$H58))</f>
        <v/>
      </c>
      <c r="E58" s="15" t="str">
        <f aca="false">IF($H58="","",INDEX('Work Master'!$G:$G,$H58))</f>
        <v/>
      </c>
      <c r="F58" s="10" t="str">
        <f aca="false">IF($H58="","",INDEX('Work Master'!$I:$I,$H58))</f>
        <v/>
      </c>
      <c r="H58" s="0" t="str">
        <f aca="false">IFERROR(MATCH(57,'Work Master'!$P:$P,0),"")</f>
        <v/>
      </c>
    </row>
    <row r="59" customFormat="false" ht="15" hidden="false" customHeight="false" outlineLevel="0" collapsed="false">
      <c r="A59" s="10" t="str">
        <f aca="false">IF($H59="","",INDEX('Work Master'!$A:$A,$H59))</f>
        <v/>
      </c>
      <c r="B59" s="10" t="str">
        <f aca="false">IF($H59="","",INDEX('Work Master'!$C:$C,$H59))</f>
        <v/>
      </c>
      <c r="C59" s="10" t="str">
        <f aca="false">IF($H59="","",INDEX('Work Master'!$D:$D,$H59))</f>
        <v/>
      </c>
      <c r="D59" s="10" t="str">
        <f aca="false">IF($H59="","",INDEX('Work Master'!$F:$F,$H59))</f>
        <v/>
      </c>
      <c r="E59" s="15" t="str">
        <f aca="false">IF($H59="","",INDEX('Work Master'!$G:$G,$H59))</f>
        <v/>
      </c>
      <c r="F59" s="10" t="str">
        <f aca="false">IF($H59="","",INDEX('Work Master'!$I:$I,$H59))</f>
        <v/>
      </c>
      <c r="H59" s="0" t="str">
        <f aca="false">IFERROR(MATCH(58,'Work Master'!$P:$P,0),"")</f>
        <v/>
      </c>
    </row>
    <row r="60" customFormat="false" ht="15" hidden="false" customHeight="false" outlineLevel="0" collapsed="false">
      <c r="A60" s="10" t="str">
        <f aca="false">IF($H60="","",INDEX('Work Master'!$A:$A,$H60))</f>
        <v/>
      </c>
      <c r="B60" s="10" t="str">
        <f aca="false">IF($H60="","",INDEX('Work Master'!$C:$C,$H60))</f>
        <v/>
      </c>
      <c r="C60" s="10" t="str">
        <f aca="false">IF($H60="","",INDEX('Work Master'!$D:$D,$H60))</f>
        <v/>
      </c>
      <c r="D60" s="10" t="str">
        <f aca="false">IF($H60="","",INDEX('Work Master'!$F:$F,$H60))</f>
        <v/>
      </c>
      <c r="E60" s="15" t="str">
        <f aca="false">IF($H60="","",INDEX('Work Master'!$G:$G,$H60))</f>
        <v/>
      </c>
      <c r="F60" s="10" t="str">
        <f aca="false">IF($H60="","",INDEX('Work Master'!$I:$I,$H60))</f>
        <v/>
      </c>
      <c r="H60" s="0" t="str">
        <f aca="false">IFERROR(MATCH(59,'Work Master'!$P:$P,0),"")</f>
        <v/>
      </c>
    </row>
    <row r="61" customFormat="false" ht="15" hidden="false" customHeight="false" outlineLevel="0" collapsed="false">
      <c r="A61" s="10" t="str">
        <f aca="false">IF($H61="","",INDEX('Work Master'!$A:$A,$H61))</f>
        <v/>
      </c>
      <c r="B61" s="10" t="str">
        <f aca="false">IF($H61="","",INDEX('Work Master'!$C:$C,$H61))</f>
        <v/>
      </c>
      <c r="C61" s="10" t="str">
        <f aca="false">IF($H61="","",INDEX('Work Master'!$D:$D,$H61))</f>
        <v/>
      </c>
      <c r="D61" s="10" t="str">
        <f aca="false">IF($H61="","",INDEX('Work Master'!$F:$F,$H61))</f>
        <v/>
      </c>
      <c r="E61" s="15" t="str">
        <f aca="false">IF($H61="","",INDEX('Work Master'!$G:$G,$H61))</f>
        <v/>
      </c>
      <c r="F61" s="10" t="str">
        <f aca="false">IF($H61="","",INDEX('Work Master'!$I:$I,$H61))</f>
        <v/>
      </c>
      <c r="H61" s="0" t="str">
        <f aca="false">IFERROR(MATCH(60,'Work Master'!$P:$P,0),"")</f>
        <v/>
      </c>
    </row>
    <row r="62" customFormat="false" ht="15" hidden="false" customHeight="false" outlineLevel="0" collapsed="false">
      <c r="A62" s="10" t="str">
        <f aca="false">IF($H62="","",INDEX('Work Master'!$A:$A,$H62))</f>
        <v/>
      </c>
      <c r="B62" s="10" t="str">
        <f aca="false">IF($H62="","",INDEX('Work Master'!$C:$C,$H62))</f>
        <v/>
      </c>
      <c r="C62" s="10" t="str">
        <f aca="false">IF($H62="","",INDEX('Work Master'!$D:$D,$H62))</f>
        <v/>
      </c>
      <c r="D62" s="10" t="str">
        <f aca="false">IF($H62="","",INDEX('Work Master'!$F:$F,$H62))</f>
        <v/>
      </c>
      <c r="E62" s="15" t="str">
        <f aca="false">IF($H62="","",INDEX('Work Master'!$G:$G,$H62))</f>
        <v/>
      </c>
      <c r="F62" s="10" t="str">
        <f aca="false">IF($H62="","",INDEX('Work Master'!$I:$I,$H62))</f>
        <v/>
      </c>
      <c r="H62" s="0" t="str">
        <f aca="false">IFERROR(MATCH(61,'Work Master'!$P:$P,0),"")</f>
        <v/>
      </c>
    </row>
    <row r="63" customFormat="false" ht="15" hidden="false" customHeight="false" outlineLevel="0" collapsed="false">
      <c r="A63" s="10" t="str">
        <f aca="false">IF($H63="","",INDEX('Work Master'!$A:$A,$H63))</f>
        <v/>
      </c>
      <c r="B63" s="10" t="str">
        <f aca="false">IF($H63="","",INDEX('Work Master'!$C:$C,$H63))</f>
        <v/>
      </c>
      <c r="C63" s="10" t="str">
        <f aca="false">IF($H63="","",INDEX('Work Master'!$D:$D,$H63))</f>
        <v/>
      </c>
      <c r="D63" s="10" t="str">
        <f aca="false">IF($H63="","",INDEX('Work Master'!$F:$F,$H63))</f>
        <v/>
      </c>
      <c r="E63" s="15" t="str">
        <f aca="false">IF($H63="","",INDEX('Work Master'!$G:$G,$H63))</f>
        <v/>
      </c>
      <c r="F63" s="10" t="str">
        <f aca="false">IF($H63="","",INDEX('Work Master'!$I:$I,$H63))</f>
        <v/>
      </c>
      <c r="H63" s="0" t="str">
        <f aca="false">IFERROR(MATCH(62,'Work Master'!$P:$P,0),"")</f>
        <v/>
      </c>
    </row>
    <row r="64" customFormat="false" ht="15" hidden="false" customHeight="false" outlineLevel="0" collapsed="false">
      <c r="A64" s="10" t="str">
        <f aca="false">IF($H64="","",INDEX('Work Master'!$A:$A,$H64))</f>
        <v/>
      </c>
      <c r="B64" s="10" t="str">
        <f aca="false">IF($H64="","",INDEX('Work Master'!$C:$C,$H64))</f>
        <v/>
      </c>
      <c r="C64" s="10" t="str">
        <f aca="false">IF($H64="","",INDEX('Work Master'!$D:$D,$H64))</f>
        <v/>
      </c>
      <c r="D64" s="10" t="str">
        <f aca="false">IF($H64="","",INDEX('Work Master'!$F:$F,$H64))</f>
        <v/>
      </c>
      <c r="E64" s="15" t="str">
        <f aca="false">IF($H64="","",INDEX('Work Master'!$G:$G,$H64))</f>
        <v/>
      </c>
      <c r="F64" s="10" t="str">
        <f aca="false">IF($H64="","",INDEX('Work Master'!$I:$I,$H64))</f>
        <v/>
      </c>
      <c r="H64" s="0" t="str">
        <f aca="false">IFERROR(MATCH(63,'Work Master'!$P:$P,0),"")</f>
        <v/>
      </c>
    </row>
    <row r="65" customFormat="false" ht="15" hidden="false" customHeight="false" outlineLevel="0" collapsed="false">
      <c r="A65" s="10" t="str">
        <f aca="false">IF($H65="","",INDEX('Work Master'!$A:$A,$H65))</f>
        <v/>
      </c>
      <c r="B65" s="10" t="str">
        <f aca="false">IF($H65="","",INDEX('Work Master'!$C:$C,$H65))</f>
        <v/>
      </c>
      <c r="C65" s="10" t="str">
        <f aca="false">IF($H65="","",INDEX('Work Master'!$D:$D,$H65))</f>
        <v/>
      </c>
      <c r="D65" s="10" t="str">
        <f aca="false">IF($H65="","",INDEX('Work Master'!$F:$F,$H65))</f>
        <v/>
      </c>
      <c r="E65" s="15" t="str">
        <f aca="false">IF($H65="","",INDEX('Work Master'!$G:$G,$H65))</f>
        <v/>
      </c>
      <c r="F65" s="10" t="str">
        <f aca="false">IF($H65="","",INDEX('Work Master'!$I:$I,$H65))</f>
        <v/>
      </c>
      <c r="H65" s="0" t="str">
        <f aca="false">IFERROR(MATCH(64,'Work Master'!$P:$P,0),"")</f>
        <v/>
      </c>
    </row>
    <row r="66" customFormat="false" ht="15" hidden="false" customHeight="false" outlineLevel="0" collapsed="false">
      <c r="A66" s="10" t="str">
        <f aca="false">IF($H66="","",INDEX('Work Master'!$A:$A,$H66))</f>
        <v/>
      </c>
      <c r="B66" s="10" t="str">
        <f aca="false">IF($H66="","",INDEX('Work Master'!$C:$C,$H66))</f>
        <v/>
      </c>
      <c r="C66" s="10" t="str">
        <f aca="false">IF($H66="","",INDEX('Work Master'!$D:$D,$H66))</f>
        <v/>
      </c>
      <c r="D66" s="10" t="str">
        <f aca="false">IF($H66="","",INDEX('Work Master'!$F:$F,$H66))</f>
        <v/>
      </c>
      <c r="E66" s="15" t="str">
        <f aca="false">IF($H66="","",INDEX('Work Master'!$G:$G,$H66))</f>
        <v/>
      </c>
      <c r="F66" s="10" t="str">
        <f aca="false">IF($H66="","",INDEX('Work Master'!$I:$I,$H66))</f>
        <v/>
      </c>
      <c r="H66" s="0" t="str">
        <f aca="false">IFERROR(MATCH(65,'Work Master'!$P:$P,0),"")</f>
        <v/>
      </c>
    </row>
    <row r="67" customFormat="false" ht="15" hidden="false" customHeight="false" outlineLevel="0" collapsed="false">
      <c r="A67" s="10" t="str">
        <f aca="false">IF($H67="","",INDEX('Work Master'!$A:$A,$H67))</f>
        <v/>
      </c>
      <c r="B67" s="10" t="str">
        <f aca="false">IF($H67="","",INDEX('Work Master'!$C:$C,$H67))</f>
        <v/>
      </c>
      <c r="C67" s="10" t="str">
        <f aca="false">IF($H67="","",INDEX('Work Master'!$D:$D,$H67))</f>
        <v/>
      </c>
      <c r="D67" s="10" t="str">
        <f aca="false">IF($H67="","",INDEX('Work Master'!$F:$F,$H67))</f>
        <v/>
      </c>
      <c r="E67" s="15" t="str">
        <f aca="false">IF($H67="","",INDEX('Work Master'!$G:$G,$H67))</f>
        <v/>
      </c>
      <c r="F67" s="10" t="str">
        <f aca="false">IF($H67="","",INDEX('Work Master'!$I:$I,$H67))</f>
        <v/>
      </c>
      <c r="H67" s="0" t="str">
        <f aca="false">IFERROR(MATCH(66,'Work Master'!$P:$P,0),"")</f>
        <v/>
      </c>
    </row>
    <row r="68" customFormat="false" ht="15" hidden="false" customHeight="false" outlineLevel="0" collapsed="false">
      <c r="A68" s="10" t="str">
        <f aca="false">IF($H68="","",INDEX('Work Master'!$A:$A,$H68))</f>
        <v/>
      </c>
      <c r="B68" s="10" t="str">
        <f aca="false">IF($H68="","",INDEX('Work Master'!$C:$C,$H68))</f>
        <v/>
      </c>
      <c r="C68" s="10" t="str">
        <f aca="false">IF($H68="","",INDEX('Work Master'!$D:$D,$H68))</f>
        <v/>
      </c>
      <c r="D68" s="10" t="str">
        <f aca="false">IF($H68="","",INDEX('Work Master'!$F:$F,$H68))</f>
        <v/>
      </c>
      <c r="E68" s="15" t="str">
        <f aca="false">IF($H68="","",INDEX('Work Master'!$G:$G,$H68))</f>
        <v/>
      </c>
      <c r="F68" s="10" t="str">
        <f aca="false">IF($H68="","",INDEX('Work Master'!$I:$I,$H68))</f>
        <v/>
      </c>
      <c r="H68" s="0" t="str">
        <f aca="false">IFERROR(MATCH(67,'Work Master'!$P:$P,0),"")</f>
        <v/>
      </c>
    </row>
    <row r="69" customFormat="false" ht="15" hidden="false" customHeight="false" outlineLevel="0" collapsed="false">
      <c r="A69" s="10" t="str">
        <f aca="false">IF($H69="","",INDEX('Work Master'!$A:$A,$H69))</f>
        <v/>
      </c>
      <c r="B69" s="10" t="str">
        <f aca="false">IF($H69="","",INDEX('Work Master'!$C:$C,$H69))</f>
        <v/>
      </c>
      <c r="C69" s="10" t="str">
        <f aca="false">IF($H69="","",INDEX('Work Master'!$D:$D,$H69))</f>
        <v/>
      </c>
      <c r="D69" s="10" t="str">
        <f aca="false">IF($H69="","",INDEX('Work Master'!$F:$F,$H69))</f>
        <v/>
      </c>
      <c r="E69" s="15" t="str">
        <f aca="false">IF($H69="","",INDEX('Work Master'!$G:$G,$H69))</f>
        <v/>
      </c>
      <c r="F69" s="10" t="str">
        <f aca="false">IF($H69="","",INDEX('Work Master'!$I:$I,$H69))</f>
        <v/>
      </c>
      <c r="H69" s="0" t="str">
        <f aca="false">IFERROR(MATCH(68,'Work Master'!$P:$P,0),"")</f>
        <v/>
      </c>
    </row>
    <row r="70" customFormat="false" ht="15" hidden="false" customHeight="false" outlineLevel="0" collapsed="false">
      <c r="A70" s="10" t="str">
        <f aca="false">IF($H70="","",INDEX('Work Master'!$A:$A,$H70))</f>
        <v/>
      </c>
      <c r="B70" s="10" t="str">
        <f aca="false">IF($H70="","",INDEX('Work Master'!$C:$C,$H70))</f>
        <v/>
      </c>
      <c r="C70" s="10" t="str">
        <f aca="false">IF($H70="","",INDEX('Work Master'!$D:$D,$H70))</f>
        <v/>
      </c>
      <c r="D70" s="10" t="str">
        <f aca="false">IF($H70="","",INDEX('Work Master'!$F:$F,$H70))</f>
        <v/>
      </c>
      <c r="E70" s="15" t="str">
        <f aca="false">IF($H70="","",INDEX('Work Master'!$G:$G,$H70))</f>
        <v/>
      </c>
      <c r="F70" s="10" t="str">
        <f aca="false">IF($H70="","",INDEX('Work Master'!$I:$I,$H70))</f>
        <v/>
      </c>
      <c r="H70" s="0" t="str">
        <f aca="false">IFERROR(MATCH(69,'Work Master'!$P:$P,0),"")</f>
        <v/>
      </c>
    </row>
    <row r="71" customFormat="false" ht="15" hidden="false" customHeight="false" outlineLevel="0" collapsed="false">
      <c r="A71" s="10" t="str">
        <f aca="false">IF($H71="","",INDEX('Work Master'!$A:$A,$H71))</f>
        <v/>
      </c>
      <c r="B71" s="10" t="str">
        <f aca="false">IF($H71="","",INDEX('Work Master'!$C:$C,$H71))</f>
        <v/>
      </c>
      <c r="C71" s="10" t="str">
        <f aca="false">IF($H71="","",INDEX('Work Master'!$D:$D,$H71))</f>
        <v/>
      </c>
      <c r="D71" s="10" t="str">
        <f aca="false">IF($H71="","",INDEX('Work Master'!$F:$F,$H71))</f>
        <v/>
      </c>
      <c r="E71" s="15" t="str">
        <f aca="false">IF($H71="","",INDEX('Work Master'!$G:$G,$H71))</f>
        <v/>
      </c>
      <c r="F71" s="10" t="str">
        <f aca="false">IF($H71="","",INDEX('Work Master'!$I:$I,$H71))</f>
        <v/>
      </c>
      <c r="H71" s="0" t="str">
        <f aca="false">IFERROR(MATCH(70,'Work Master'!$P:$P,0),"")</f>
        <v/>
      </c>
    </row>
    <row r="72" customFormat="false" ht="15" hidden="false" customHeight="false" outlineLevel="0" collapsed="false">
      <c r="A72" s="10" t="str">
        <f aca="false">IF($H72="","",INDEX('Work Master'!$A:$A,$H72))</f>
        <v/>
      </c>
      <c r="B72" s="10" t="str">
        <f aca="false">IF($H72="","",INDEX('Work Master'!$C:$C,$H72))</f>
        <v/>
      </c>
      <c r="C72" s="10" t="str">
        <f aca="false">IF($H72="","",INDEX('Work Master'!$D:$D,$H72))</f>
        <v/>
      </c>
      <c r="D72" s="10" t="str">
        <f aca="false">IF($H72="","",INDEX('Work Master'!$F:$F,$H72))</f>
        <v/>
      </c>
      <c r="E72" s="15" t="str">
        <f aca="false">IF($H72="","",INDEX('Work Master'!$G:$G,$H72))</f>
        <v/>
      </c>
      <c r="F72" s="10" t="str">
        <f aca="false">IF($H72="","",INDEX('Work Master'!$I:$I,$H72))</f>
        <v/>
      </c>
      <c r="H72" s="0" t="str">
        <f aca="false">IFERROR(MATCH(71,'Work Master'!$P:$P,0),"")</f>
        <v/>
      </c>
    </row>
    <row r="73" customFormat="false" ht="15" hidden="false" customHeight="false" outlineLevel="0" collapsed="false">
      <c r="A73" s="10" t="str">
        <f aca="false">IF($H73="","",INDEX('Work Master'!$A:$A,$H73))</f>
        <v/>
      </c>
      <c r="B73" s="10" t="str">
        <f aca="false">IF($H73="","",INDEX('Work Master'!$C:$C,$H73))</f>
        <v/>
      </c>
      <c r="C73" s="10" t="str">
        <f aca="false">IF($H73="","",INDEX('Work Master'!$D:$D,$H73))</f>
        <v/>
      </c>
      <c r="D73" s="10" t="str">
        <f aca="false">IF($H73="","",INDEX('Work Master'!$F:$F,$H73))</f>
        <v/>
      </c>
      <c r="E73" s="15" t="str">
        <f aca="false">IF($H73="","",INDEX('Work Master'!$G:$G,$H73))</f>
        <v/>
      </c>
      <c r="F73" s="10" t="str">
        <f aca="false">IF($H73="","",INDEX('Work Master'!$I:$I,$H73))</f>
        <v/>
      </c>
      <c r="H73" s="0" t="str">
        <f aca="false">IFERROR(MATCH(72,'Work Master'!$P:$P,0),"")</f>
        <v/>
      </c>
    </row>
    <row r="74" customFormat="false" ht="15" hidden="false" customHeight="false" outlineLevel="0" collapsed="false">
      <c r="A74" s="10" t="str">
        <f aca="false">IF($H74="","",INDEX('Work Master'!$A:$A,$H74))</f>
        <v/>
      </c>
      <c r="B74" s="10" t="str">
        <f aca="false">IF($H74="","",INDEX('Work Master'!$C:$C,$H74))</f>
        <v/>
      </c>
      <c r="C74" s="10" t="str">
        <f aca="false">IF($H74="","",INDEX('Work Master'!$D:$D,$H74))</f>
        <v/>
      </c>
      <c r="D74" s="10" t="str">
        <f aca="false">IF($H74="","",INDEX('Work Master'!$F:$F,$H74))</f>
        <v/>
      </c>
      <c r="E74" s="15" t="str">
        <f aca="false">IF($H74="","",INDEX('Work Master'!$G:$G,$H74))</f>
        <v/>
      </c>
      <c r="F74" s="10" t="str">
        <f aca="false">IF($H74="","",INDEX('Work Master'!$I:$I,$H74))</f>
        <v/>
      </c>
      <c r="H74" s="0" t="str">
        <f aca="false">IFERROR(MATCH(73,'Work Master'!$P:$P,0),"")</f>
        <v/>
      </c>
    </row>
    <row r="75" customFormat="false" ht="15" hidden="false" customHeight="false" outlineLevel="0" collapsed="false">
      <c r="A75" s="10" t="str">
        <f aca="false">IF($H75="","",INDEX('Work Master'!$A:$A,$H75))</f>
        <v/>
      </c>
      <c r="B75" s="10" t="str">
        <f aca="false">IF($H75="","",INDEX('Work Master'!$C:$C,$H75))</f>
        <v/>
      </c>
      <c r="C75" s="10" t="str">
        <f aca="false">IF($H75="","",INDEX('Work Master'!$D:$D,$H75))</f>
        <v/>
      </c>
      <c r="D75" s="10" t="str">
        <f aca="false">IF($H75="","",INDEX('Work Master'!$F:$F,$H75))</f>
        <v/>
      </c>
      <c r="E75" s="15" t="str">
        <f aca="false">IF($H75="","",INDEX('Work Master'!$G:$G,$H75))</f>
        <v/>
      </c>
      <c r="F75" s="10" t="str">
        <f aca="false">IF($H75="","",INDEX('Work Master'!$I:$I,$H75))</f>
        <v/>
      </c>
      <c r="H75" s="0" t="str">
        <f aca="false">IFERROR(MATCH(74,'Work Master'!$P:$P,0),"")</f>
        <v/>
      </c>
    </row>
    <row r="76" customFormat="false" ht="15" hidden="false" customHeight="false" outlineLevel="0" collapsed="false">
      <c r="A76" s="10" t="str">
        <f aca="false">IF($H76="","",INDEX('Work Master'!$A:$A,$H76))</f>
        <v/>
      </c>
      <c r="B76" s="10" t="str">
        <f aca="false">IF($H76="","",INDEX('Work Master'!$C:$C,$H76))</f>
        <v/>
      </c>
      <c r="C76" s="10" t="str">
        <f aca="false">IF($H76="","",INDEX('Work Master'!$D:$D,$H76))</f>
        <v/>
      </c>
      <c r="D76" s="10" t="str">
        <f aca="false">IF($H76="","",INDEX('Work Master'!$F:$F,$H76))</f>
        <v/>
      </c>
      <c r="E76" s="15" t="str">
        <f aca="false">IF($H76="","",INDEX('Work Master'!$G:$G,$H76))</f>
        <v/>
      </c>
      <c r="F76" s="10" t="str">
        <f aca="false">IF($H76="","",INDEX('Work Master'!$I:$I,$H76))</f>
        <v/>
      </c>
      <c r="H76" s="0" t="str">
        <f aca="false">IFERROR(MATCH(75,'Work Master'!$P:$P,0),"")</f>
        <v/>
      </c>
    </row>
    <row r="77" customFormat="false" ht="15" hidden="false" customHeight="false" outlineLevel="0" collapsed="false">
      <c r="A77" s="10" t="str">
        <f aca="false">IF($H77="","",INDEX('Work Master'!$A:$A,$H77))</f>
        <v/>
      </c>
      <c r="B77" s="10" t="str">
        <f aca="false">IF($H77="","",INDEX('Work Master'!$C:$C,$H77))</f>
        <v/>
      </c>
      <c r="C77" s="10" t="str">
        <f aca="false">IF($H77="","",INDEX('Work Master'!$D:$D,$H77))</f>
        <v/>
      </c>
      <c r="D77" s="10" t="str">
        <f aca="false">IF($H77="","",INDEX('Work Master'!$F:$F,$H77))</f>
        <v/>
      </c>
      <c r="E77" s="15" t="str">
        <f aca="false">IF($H77="","",INDEX('Work Master'!$G:$G,$H77))</f>
        <v/>
      </c>
      <c r="F77" s="10" t="str">
        <f aca="false">IF($H77="","",INDEX('Work Master'!$I:$I,$H77))</f>
        <v/>
      </c>
      <c r="H77" s="0" t="str">
        <f aca="false">IFERROR(MATCH(76,'Work Master'!$P:$P,0),"")</f>
        <v/>
      </c>
    </row>
    <row r="78" customFormat="false" ht="15" hidden="false" customHeight="false" outlineLevel="0" collapsed="false">
      <c r="A78" s="10" t="str">
        <f aca="false">IF($H78="","",INDEX('Work Master'!$A:$A,$H78))</f>
        <v/>
      </c>
      <c r="B78" s="10" t="str">
        <f aca="false">IF($H78="","",INDEX('Work Master'!$C:$C,$H78))</f>
        <v/>
      </c>
      <c r="C78" s="10" t="str">
        <f aca="false">IF($H78="","",INDEX('Work Master'!$D:$D,$H78))</f>
        <v/>
      </c>
      <c r="D78" s="10" t="str">
        <f aca="false">IF($H78="","",INDEX('Work Master'!$F:$F,$H78))</f>
        <v/>
      </c>
      <c r="E78" s="15" t="str">
        <f aca="false">IF($H78="","",INDEX('Work Master'!$G:$G,$H78))</f>
        <v/>
      </c>
      <c r="F78" s="10" t="str">
        <f aca="false">IF($H78="","",INDEX('Work Master'!$I:$I,$H78))</f>
        <v/>
      </c>
      <c r="H78" s="0" t="str">
        <f aca="false">IFERROR(MATCH(77,'Work Master'!$P:$P,0),"")</f>
        <v/>
      </c>
    </row>
    <row r="79" customFormat="false" ht="15" hidden="false" customHeight="false" outlineLevel="0" collapsed="false">
      <c r="A79" s="10" t="str">
        <f aca="false">IF($H79="","",INDEX('Work Master'!$A:$A,$H79))</f>
        <v/>
      </c>
      <c r="B79" s="10" t="str">
        <f aca="false">IF($H79="","",INDEX('Work Master'!$C:$C,$H79))</f>
        <v/>
      </c>
      <c r="C79" s="10" t="str">
        <f aca="false">IF($H79="","",INDEX('Work Master'!$D:$D,$H79))</f>
        <v/>
      </c>
      <c r="D79" s="10" t="str">
        <f aca="false">IF($H79="","",INDEX('Work Master'!$F:$F,$H79))</f>
        <v/>
      </c>
      <c r="E79" s="15" t="str">
        <f aca="false">IF($H79="","",INDEX('Work Master'!$G:$G,$H79))</f>
        <v/>
      </c>
      <c r="F79" s="10" t="str">
        <f aca="false">IF($H79="","",INDEX('Work Master'!$I:$I,$H79))</f>
        <v/>
      </c>
      <c r="H79" s="0" t="str">
        <f aca="false">IFERROR(MATCH(78,'Work Master'!$P:$P,0),"")</f>
        <v/>
      </c>
    </row>
    <row r="80" customFormat="false" ht="15" hidden="false" customHeight="false" outlineLevel="0" collapsed="false">
      <c r="A80" s="10" t="str">
        <f aca="false">IF($H80="","",INDEX('Work Master'!$A:$A,$H80))</f>
        <v/>
      </c>
      <c r="B80" s="10" t="str">
        <f aca="false">IF($H80="","",INDEX('Work Master'!$C:$C,$H80))</f>
        <v/>
      </c>
      <c r="C80" s="10" t="str">
        <f aca="false">IF($H80="","",INDEX('Work Master'!$D:$D,$H80))</f>
        <v/>
      </c>
      <c r="D80" s="10" t="str">
        <f aca="false">IF($H80="","",INDEX('Work Master'!$F:$F,$H80))</f>
        <v/>
      </c>
      <c r="E80" s="15" t="str">
        <f aca="false">IF($H80="","",INDEX('Work Master'!$G:$G,$H80))</f>
        <v/>
      </c>
      <c r="F80" s="10" t="str">
        <f aca="false">IF($H80="","",INDEX('Work Master'!$I:$I,$H80))</f>
        <v/>
      </c>
      <c r="H80" s="0" t="str">
        <f aca="false">IFERROR(MATCH(79,'Work Master'!$P:$P,0),"")</f>
        <v/>
      </c>
    </row>
    <row r="81" customFormat="false" ht="15" hidden="false" customHeight="false" outlineLevel="0" collapsed="false">
      <c r="A81" s="10" t="str">
        <f aca="false">IF($H81="","",INDEX('Work Master'!$A:$A,$H81))</f>
        <v/>
      </c>
      <c r="B81" s="10" t="str">
        <f aca="false">IF($H81="","",INDEX('Work Master'!$C:$C,$H81))</f>
        <v/>
      </c>
      <c r="C81" s="10" t="str">
        <f aca="false">IF($H81="","",INDEX('Work Master'!$D:$D,$H81))</f>
        <v/>
      </c>
      <c r="D81" s="10" t="str">
        <f aca="false">IF($H81="","",INDEX('Work Master'!$F:$F,$H81))</f>
        <v/>
      </c>
      <c r="E81" s="15" t="str">
        <f aca="false">IF($H81="","",INDEX('Work Master'!$G:$G,$H81))</f>
        <v/>
      </c>
      <c r="F81" s="10" t="str">
        <f aca="false">IF($H81="","",INDEX('Work Master'!$I:$I,$H81))</f>
        <v/>
      </c>
      <c r="H81" s="0" t="str">
        <f aca="false">IFERROR(MATCH(80,'Work Master'!$P:$P,0),"")</f>
        <v/>
      </c>
    </row>
    <row r="82" customFormat="false" ht="15" hidden="false" customHeight="false" outlineLevel="0" collapsed="false">
      <c r="A82" s="10" t="str">
        <f aca="false">IF($H82="","",INDEX('Work Master'!$A:$A,$H82))</f>
        <v/>
      </c>
      <c r="B82" s="10" t="str">
        <f aca="false">IF($H82="","",INDEX('Work Master'!$C:$C,$H82))</f>
        <v/>
      </c>
      <c r="C82" s="10" t="str">
        <f aca="false">IF($H82="","",INDEX('Work Master'!$D:$D,$H82))</f>
        <v/>
      </c>
      <c r="D82" s="10" t="str">
        <f aca="false">IF($H82="","",INDEX('Work Master'!$F:$F,$H82))</f>
        <v/>
      </c>
      <c r="E82" s="15" t="str">
        <f aca="false">IF($H82="","",INDEX('Work Master'!$G:$G,$H82))</f>
        <v/>
      </c>
      <c r="F82" s="10" t="str">
        <f aca="false">IF($H82="","",INDEX('Work Master'!$I:$I,$H82))</f>
        <v/>
      </c>
      <c r="H82" s="0" t="str">
        <f aca="false">IFERROR(MATCH(81,'Work Master'!$P:$P,0),"")</f>
        <v/>
      </c>
    </row>
    <row r="83" customFormat="false" ht="15" hidden="false" customHeight="false" outlineLevel="0" collapsed="false">
      <c r="A83" s="10" t="str">
        <f aca="false">IF($H83="","",INDEX('Work Master'!$A:$A,$H83))</f>
        <v/>
      </c>
      <c r="B83" s="10" t="str">
        <f aca="false">IF($H83="","",INDEX('Work Master'!$C:$C,$H83))</f>
        <v/>
      </c>
      <c r="C83" s="10" t="str">
        <f aca="false">IF($H83="","",INDEX('Work Master'!$D:$D,$H83))</f>
        <v/>
      </c>
      <c r="D83" s="10" t="str">
        <f aca="false">IF($H83="","",INDEX('Work Master'!$F:$F,$H83))</f>
        <v/>
      </c>
      <c r="E83" s="15" t="str">
        <f aca="false">IF($H83="","",INDEX('Work Master'!$G:$G,$H83))</f>
        <v/>
      </c>
      <c r="F83" s="10" t="str">
        <f aca="false">IF($H83="","",INDEX('Work Master'!$I:$I,$H83))</f>
        <v/>
      </c>
      <c r="H83" s="0" t="str">
        <f aca="false">IFERROR(MATCH(82,'Work Master'!$P:$P,0),"")</f>
        <v/>
      </c>
    </row>
    <row r="84" customFormat="false" ht="15" hidden="false" customHeight="false" outlineLevel="0" collapsed="false">
      <c r="A84" s="10" t="str">
        <f aca="false">IF($H84="","",INDEX('Work Master'!$A:$A,$H84))</f>
        <v/>
      </c>
      <c r="B84" s="10" t="str">
        <f aca="false">IF($H84="","",INDEX('Work Master'!$C:$C,$H84))</f>
        <v/>
      </c>
      <c r="C84" s="10" t="str">
        <f aca="false">IF($H84="","",INDEX('Work Master'!$D:$D,$H84))</f>
        <v/>
      </c>
      <c r="D84" s="10" t="str">
        <f aca="false">IF($H84="","",INDEX('Work Master'!$F:$F,$H84))</f>
        <v/>
      </c>
      <c r="E84" s="15" t="str">
        <f aca="false">IF($H84="","",INDEX('Work Master'!$G:$G,$H84))</f>
        <v/>
      </c>
      <c r="F84" s="10" t="str">
        <f aca="false">IF($H84="","",INDEX('Work Master'!$I:$I,$H84))</f>
        <v/>
      </c>
      <c r="H84" s="0" t="str">
        <f aca="false">IFERROR(MATCH(83,'Work Master'!$P:$P,0),"")</f>
        <v/>
      </c>
    </row>
    <row r="85" customFormat="false" ht="15" hidden="false" customHeight="false" outlineLevel="0" collapsed="false">
      <c r="A85" s="10" t="str">
        <f aca="false">IF($H85="","",INDEX('Work Master'!$A:$A,$H85))</f>
        <v/>
      </c>
      <c r="B85" s="10" t="str">
        <f aca="false">IF($H85="","",INDEX('Work Master'!$C:$C,$H85))</f>
        <v/>
      </c>
      <c r="C85" s="10" t="str">
        <f aca="false">IF($H85="","",INDEX('Work Master'!$D:$D,$H85))</f>
        <v/>
      </c>
      <c r="D85" s="10" t="str">
        <f aca="false">IF($H85="","",INDEX('Work Master'!$F:$F,$H85))</f>
        <v/>
      </c>
      <c r="E85" s="15" t="str">
        <f aca="false">IF($H85="","",INDEX('Work Master'!$G:$G,$H85))</f>
        <v/>
      </c>
      <c r="F85" s="10" t="str">
        <f aca="false">IF($H85="","",INDEX('Work Master'!$I:$I,$H85))</f>
        <v/>
      </c>
      <c r="H85" s="0" t="str">
        <f aca="false">IFERROR(MATCH(84,'Work Master'!$P:$P,0),"")</f>
        <v/>
      </c>
    </row>
    <row r="86" customFormat="false" ht="15" hidden="false" customHeight="false" outlineLevel="0" collapsed="false">
      <c r="A86" s="10" t="str">
        <f aca="false">IF($H86="","",INDEX('Work Master'!$A:$A,$H86))</f>
        <v/>
      </c>
      <c r="B86" s="10" t="str">
        <f aca="false">IF($H86="","",INDEX('Work Master'!$C:$C,$H86))</f>
        <v/>
      </c>
      <c r="C86" s="10" t="str">
        <f aca="false">IF($H86="","",INDEX('Work Master'!$D:$D,$H86))</f>
        <v/>
      </c>
      <c r="D86" s="10" t="str">
        <f aca="false">IF($H86="","",INDEX('Work Master'!$F:$F,$H86))</f>
        <v/>
      </c>
      <c r="E86" s="15" t="str">
        <f aca="false">IF($H86="","",INDEX('Work Master'!$G:$G,$H86))</f>
        <v/>
      </c>
      <c r="F86" s="10" t="str">
        <f aca="false">IF($H86="","",INDEX('Work Master'!$I:$I,$H86))</f>
        <v/>
      </c>
      <c r="H86" s="0" t="str">
        <f aca="false">IFERROR(MATCH(85,'Work Master'!$P:$P,0),"")</f>
        <v/>
      </c>
    </row>
    <row r="87" customFormat="false" ht="15" hidden="false" customHeight="false" outlineLevel="0" collapsed="false">
      <c r="A87" s="10" t="str">
        <f aca="false">IF($H87="","",INDEX('Work Master'!$A:$A,$H87))</f>
        <v/>
      </c>
      <c r="B87" s="10" t="str">
        <f aca="false">IF($H87="","",INDEX('Work Master'!$C:$C,$H87))</f>
        <v/>
      </c>
      <c r="C87" s="10" t="str">
        <f aca="false">IF($H87="","",INDEX('Work Master'!$D:$D,$H87))</f>
        <v/>
      </c>
      <c r="D87" s="10" t="str">
        <f aca="false">IF($H87="","",INDEX('Work Master'!$F:$F,$H87))</f>
        <v/>
      </c>
      <c r="E87" s="15" t="str">
        <f aca="false">IF($H87="","",INDEX('Work Master'!$G:$G,$H87))</f>
        <v/>
      </c>
      <c r="F87" s="10" t="str">
        <f aca="false">IF($H87="","",INDEX('Work Master'!$I:$I,$H87))</f>
        <v/>
      </c>
      <c r="H87" s="0" t="str">
        <f aca="false">IFERROR(MATCH(86,'Work Master'!$P:$P,0),"")</f>
        <v/>
      </c>
    </row>
    <row r="88" customFormat="false" ht="15" hidden="false" customHeight="false" outlineLevel="0" collapsed="false">
      <c r="A88" s="10" t="str">
        <f aca="false">IF($H88="","",INDEX('Work Master'!$A:$A,$H88))</f>
        <v/>
      </c>
      <c r="B88" s="10" t="str">
        <f aca="false">IF($H88="","",INDEX('Work Master'!$C:$C,$H88))</f>
        <v/>
      </c>
      <c r="C88" s="10" t="str">
        <f aca="false">IF($H88="","",INDEX('Work Master'!$D:$D,$H88))</f>
        <v/>
      </c>
      <c r="D88" s="10" t="str">
        <f aca="false">IF($H88="","",INDEX('Work Master'!$F:$F,$H88))</f>
        <v/>
      </c>
      <c r="E88" s="15" t="str">
        <f aca="false">IF($H88="","",INDEX('Work Master'!$G:$G,$H88))</f>
        <v/>
      </c>
      <c r="F88" s="10" t="str">
        <f aca="false">IF($H88="","",INDEX('Work Master'!$I:$I,$H88))</f>
        <v/>
      </c>
      <c r="H88" s="0" t="str">
        <f aca="false">IFERROR(MATCH(87,'Work Master'!$P:$P,0),"")</f>
        <v/>
      </c>
    </row>
    <row r="89" customFormat="false" ht="15" hidden="false" customHeight="false" outlineLevel="0" collapsed="false">
      <c r="A89" s="10" t="str">
        <f aca="false">IF($H89="","",INDEX('Work Master'!$A:$A,$H89))</f>
        <v/>
      </c>
      <c r="B89" s="10" t="str">
        <f aca="false">IF($H89="","",INDEX('Work Master'!$C:$C,$H89))</f>
        <v/>
      </c>
      <c r="C89" s="10" t="str">
        <f aca="false">IF($H89="","",INDEX('Work Master'!$D:$D,$H89))</f>
        <v/>
      </c>
      <c r="D89" s="10" t="str">
        <f aca="false">IF($H89="","",INDEX('Work Master'!$F:$F,$H89))</f>
        <v/>
      </c>
      <c r="E89" s="15" t="str">
        <f aca="false">IF($H89="","",INDEX('Work Master'!$G:$G,$H89))</f>
        <v/>
      </c>
      <c r="F89" s="10" t="str">
        <f aca="false">IF($H89="","",INDEX('Work Master'!$I:$I,$H89))</f>
        <v/>
      </c>
      <c r="H89" s="0" t="str">
        <f aca="false">IFERROR(MATCH(88,'Work Master'!$P:$P,0),"")</f>
        <v/>
      </c>
    </row>
    <row r="90" customFormat="false" ht="15" hidden="false" customHeight="false" outlineLevel="0" collapsed="false">
      <c r="A90" s="10" t="str">
        <f aca="false">IF($H90="","",INDEX('Work Master'!$A:$A,$H90))</f>
        <v/>
      </c>
      <c r="B90" s="10" t="str">
        <f aca="false">IF($H90="","",INDEX('Work Master'!$C:$C,$H90))</f>
        <v/>
      </c>
      <c r="C90" s="10" t="str">
        <f aca="false">IF($H90="","",INDEX('Work Master'!$D:$D,$H90))</f>
        <v/>
      </c>
      <c r="D90" s="10" t="str">
        <f aca="false">IF($H90="","",INDEX('Work Master'!$F:$F,$H90))</f>
        <v/>
      </c>
      <c r="E90" s="15" t="str">
        <f aca="false">IF($H90="","",INDEX('Work Master'!$G:$G,$H90))</f>
        <v/>
      </c>
      <c r="F90" s="10" t="str">
        <f aca="false">IF($H90="","",INDEX('Work Master'!$I:$I,$H90))</f>
        <v/>
      </c>
      <c r="H90" s="0" t="str">
        <f aca="false">IFERROR(MATCH(89,'Work Master'!$P:$P,0),"")</f>
        <v/>
      </c>
    </row>
    <row r="91" customFormat="false" ht="15" hidden="false" customHeight="false" outlineLevel="0" collapsed="false">
      <c r="A91" s="10" t="str">
        <f aca="false">IF($H91="","",INDEX('Work Master'!$A:$A,$H91))</f>
        <v/>
      </c>
      <c r="B91" s="10" t="str">
        <f aca="false">IF($H91="","",INDEX('Work Master'!$C:$C,$H91))</f>
        <v/>
      </c>
      <c r="C91" s="10" t="str">
        <f aca="false">IF($H91="","",INDEX('Work Master'!$D:$D,$H91))</f>
        <v/>
      </c>
      <c r="D91" s="10" t="str">
        <f aca="false">IF($H91="","",INDEX('Work Master'!$F:$F,$H91))</f>
        <v/>
      </c>
      <c r="E91" s="15" t="str">
        <f aca="false">IF($H91="","",INDEX('Work Master'!$G:$G,$H91))</f>
        <v/>
      </c>
      <c r="F91" s="10" t="str">
        <f aca="false">IF($H91="","",INDEX('Work Master'!$I:$I,$H91))</f>
        <v/>
      </c>
      <c r="H91" s="0" t="str">
        <f aca="false">IFERROR(MATCH(90,'Work Master'!$P:$P,0),"")</f>
        <v/>
      </c>
    </row>
    <row r="92" customFormat="false" ht="15" hidden="false" customHeight="false" outlineLevel="0" collapsed="false">
      <c r="A92" s="10" t="str">
        <f aca="false">IF($H92="","",INDEX('Work Master'!$A:$A,$H92))</f>
        <v/>
      </c>
      <c r="B92" s="10" t="str">
        <f aca="false">IF($H92="","",INDEX('Work Master'!$C:$C,$H92))</f>
        <v/>
      </c>
      <c r="C92" s="10" t="str">
        <f aca="false">IF($H92="","",INDEX('Work Master'!$D:$D,$H92))</f>
        <v/>
      </c>
      <c r="D92" s="10" t="str">
        <f aca="false">IF($H92="","",INDEX('Work Master'!$F:$F,$H92))</f>
        <v/>
      </c>
      <c r="E92" s="15" t="str">
        <f aca="false">IF($H92="","",INDEX('Work Master'!$G:$G,$H92))</f>
        <v/>
      </c>
      <c r="F92" s="10" t="str">
        <f aca="false">IF($H92="","",INDEX('Work Master'!$I:$I,$H92))</f>
        <v/>
      </c>
      <c r="H92" s="0" t="str">
        <f aca="false">IFERROR(MATCH(91,'Work Master'!$P:$P,0),"")</f>
        <v/>
      </c>
    </row>
    <row r="93" customFormat="false" ht="15" hidden="false" customHeight="false" outlineLevel="0" collapsed="false">
      <c r="A93" s="10" t="str">
        <f aca="false">IF($H93="","",INDEX('Work Master'!$A:$A,$H93))</f>
        <v/>
      </c>
      <c r="B93" s="10" t="str">
        <f aca="false">IF($H93="","",INDEX('Work Master'!$C:$C,$H93))</f>
        <v/>
      </c>
      <c r="C93" s="10" t="str">
        <f aca="false">IF($H93="","",INDEX('Work Master'!$D:$D,$H93))</f>
        <v/>
      </c>
      <c r="D93" s="10" t="str">
        <f aca="false">IF($H93="","",INDEX('Work Master'!$F:$F,$H93))</f>
        <v/>
      </c>
      <c r="E93" s="15" t="str">
        <f aca="false">IF($H93="","",INDEX('Work Master'!$G:$G,$H93))</f>
        <v/>
      </c>
      <c r="F93" s="10" t="str">
        <f aca="false">IF($H93="","",INDEX('Work Master'!$I:$I,$H93))</f>
        <v/>
      </c>
      <c r="H93" s="0" t="str">
        <f aca="false">IFERROR(MATCH(92,'Work Master'!$P:$P,0),"")</f>
        <v/>
      </c>
    </row>
    <row r="94" customFormat="false" ht="15" hidden="false" customHeight="false" outlineLevel="0" collapsed="false">
      <c r="A94" s="10" t="str">
        <f aca="false">IF($H94="","",INDEX('Work Master'!$A:$A,$H94))</f>
        <v/>
      </c>
      <c r="B94" s="10" t="str">
        <f aca="false">IF($H94="","",INDEX('Work Master'!$C:$C,$H94))</f>
        <v/>
      </c>
      <c r="C94" s="10" t="str">
        <f aca="false">IF($H94="","",INDEX('Work Master'!$D:$D,$H94))</f>
        <v/>
      </c>
      <c r="D94" s="10" t="str">
        <f aca="false">IF($H94="","",INDEX('Work Master'!$F:$F,$H94))</f>
        <v/>
      </c>
      <c r="E94" s="15" t="str">
        <f aca="false">IF($H94="","",INDEX('Work Master'!$G:$G,$H94))</f>
        <v/>
      </c>
      <c r="F94" s="10" t="str">
        <f aca="false">IF($H94="","",INDEX('Work Master'!$I:$I,$H94))</f>
        <v/>
      </c>
      <c r="H94" s="0" t="str">
        <f aca="false">IFERROR(MATCH(93,'Work Master'!$P:$P,0),"")</f>
        <v/>
      </c>
    </row>
    <row r="95" customFormat="false" ht="15" hidden="false" customHeight="false" outlineLevel="0" collapsed="false">
      <c r="A95" s="10" t="str">
        <f aca="false">IF($H95="","",INDEX('Work Master'!$A:$A,$H95))</f>
        <v/>
      </c>
      <c r="B95" s="10" t="str">
        <f aca="false">IF($H95="","",INDEX('Work Master'!$C:$C,$H95))</f>
        <v/>
      </c>
      <c r="C95" s="10" t="str">
        <f aca="false">IF($H95="","",INDEX('Work Master'!$D:$D,$H95))</f>
        <v/>
      </c>
      <c r="D95" s="10" t="str">
        <f aca="false">IF($H95="","",INDEX('Work Master'!$F:$F,$H95))</f>
        <v/>
      </c>
      <c r="E95" s="15" t="str">
        <f aca="false">IF($H95="","",INDEX('Work Master'!$G:$G,$H95))</f>
        <v/>
      </c>
      <c r="F95" s="10" t="str">
        <f aca="false">IF($H95="","",INDEX('Work Master'!$I:$I,$H95))</f>
        <v/>
      </c>
      <c r="H95" s="0" t="str">
        <f aca="false">IFERROR(MATCH(94,'Work Master'!$P:$P,0),"")</f>
        <v/>
      </c>
    </row>
    <row r="96" customFormat="false" ht="15" hidden="false" customHeight="false" outlineLevel="0" collapsed="false">
      <c r="A96" s="10" t="str">
        <f aca="false">IF($H96="","",INDEX('Work Master'!$A:$A,$H96))</f>
        <v/>
      </c>
      <c r="B96" s="10" t="str">
        <f aca="false">IF($H96="","",INDEX('Work Master'!$C:$C,$H96))</f>
        <v/>
      </c>
      <c r="C96" s="10" t="str">
        <f aca="false">IF($H96="","",INDEX('Work Master'!$D:$D,$H96))</f>
        <v/>
      </c>
      <c r="D96" s="10" t="str">
        <f aca="false">IF($H96="","",INDEX('Work Master'!$F:$F,$H96))</f>
        <v/>
      </c>
      <c r="E96" s="15" t="str">
        <f aca="false">IF($H96="","",INDEX('Work Master'!$G:$G,$H96))</f>
        <v/>
      </c>
      <c r="F96" s="10" t="str">
        <f aca="false">IF($H96="","",INDEX('Work Master'!$I:$I,$H96))</f>
        <v/>
      </c>
      <c r="H96" s="0" t="str">
        <f aca="false">IFERROR(MATCH(95,'Work Master'!$P:$P,0),"")</f>
        <v/>
      </c>
    </row>
    <row r="97" customFormat="false" ht="15" hidden="false" customHeight="false" outlineLevel="0" collapsed="false">
      <c r="A97" s="10" t="str">
        <f aca="false">IF($H97="","",INDEX('Work Master'!$A:$A,$H97))</f>
        <v/>
      </c>
      <c r="B97" s="10" t="str">
        <f aca="false">IF($H97="","",INDEX('Work Master'!$C:$C,$H97))</f>
        <v/>
      </c>
      <c r="C97" s="10" t="str">
        <f aca="false">IF($H97="","",INDEX('Work Master'!$D:$D,$H97))</f>
        <v/>
      </c>
      <c r="D97" s="10" t="str">
        <f aca="false">IF($H97="","",INDEX('Work Master'!$F:$F,$H97))</f>
        <v/>
      </c>
      <c r="E97" s="15" t="str">
        <f aca="false">IF($H97="","",INDEX('Work Master'!$G:$G,$H97))</f>
        <v/>
      </c>
      <c r="F97" s="10" t="str">
        <f aca="false">IF($H97="","",INDEX('Work Master'!$I:$I,$H97))</f>
        <v/>
      </c>
      <c r="H97" s="0" t="str">
        <f aca="false">IFERROR(MATCH(96,'Work Master'!$P:$P,0),"")</f>
        <v/>
      </c>
    </row>
    <row r="98" customFormat="false" ht="15" hidden="false" customHeight="false" outlineLevel="0" collapsed="false">
      <c r="A98" s="10" t="str">
        <f aca="false">IF($H98="","",INDEX('Work Master'!$A:$A,$H98))</f>
        <v/>
      </c>
      <c r="B98" s="10" t="str">
        <f aca="false">IF($H98="","",INDEX('Work Master'!$C:$C,$H98))</f>
        <v/>
      </c>
      <c r="C98" s="10" t="str">
        <f aca="false">IF($H98="","",INDEX('Work Master'!$D:$D,$H98))</f>
        <v/>
      </c>
      <c r="D98" s="10" t="str">
        <f aca="false">IF($H98="","",INDEX('Work Master'!$F:$F,$H98))</f>
        <v/>
      </c>
      <c r="E98" s="15" t="str">
        <f aca="false">IF($H98="","",INDEX('Work Master'!$G:$G,$H98))</f>
        <v/>
      </c>
      <c r="F98" s="10" t="str">
        <f aca="false">IF($H98="","",INDEX('Work Master'!$I:$I,$H98))</f>
        <v/>
      </c>
      <c r="H98" s="0" t="str">
        <f aca="false">IFERROR(MATCH(97,'Work Master'!$P:$P,0),"")</f>
        <v/>
      </c>
    </row>
    <row r="99" customFormat="false" ht="15" hidden="false" customHeight="false" outlineLevel="0" collapsed="false">
      <c r="A99" s="10" t="str">
        <f aca="false">IF($H99="","",INDEX('Work Master'!$A:$A,$H99))</f>
        <v/>
      </c>
      <c r="B99" s="10" t="str">
        <f aca="false">IF($H99="","",INDEX('Work Master'!$C:$C,$H99))</f>
        <v/>
      </c>
      <c r="C99" s="10" t="str">
        <f aca="false">IF($H99="","",INDEX('Work Master'!$D:$D,$H99))</f>
        <v/>
      </c>
      <c r="D99" s="10" t="str">
        <f aca="false">IF($H99="","",INDEX('Work Master'!$F:$F,$H99))</f>
        <v/>
      </c>
      <c r="E99" s="15" t="str">
        <f aca="false">IF($H99="","",INDEX('Work Master'!$G:$G,$H99))</f>
        <v/>
      </c>
      <c r="F99" s="10" t="str">
        <f aca="false">IF($H99="","",INDEX('Work Master'!$I:$I,$H99))</f>
        <v/>
      </c>
      <c r="H99" s="0" t="str">
        <f aca="false">IFERROR(MATCH(98,'Work Master'!$P:$P,0),"")</f>
        <v/>
      </c>
    </row>
    <row r="100" customFormat="false" ht="15" hidden="false" customHeight="false" outlineLevel="0" collapsed="false">
      <c r="A100" s="10" t="str">
        <f aca="false">IF($H100="","",INDEX('Work Master'!$A:$A,$H100))</f>
        <v/>
      </c>
      <c r="B100" s="10" t="str">
        <f aca="false">IF($H100="","",INDEX('Work Master'!$C:$C,$H100))</f>
        <v/>
      </c>
      <c r="C100" s="10" t="str">
        <f aca="false">IF($H100="","",INDEX('Work Master'!$D:$D,$H100))</f>
        <v/>
      </c>
      <c r="D100" s="10" t="str">
        <f aca="false">IF($H100="","",INDEX('Work Master'!$F:$F,$H100))</f>
        <v/>
      </c>
      <c r="E100" s="15" t="str">
        <f aca="false">IF($H100="","",INDEX('Work Master'!$G:$G,$H100))</f>
        <v/>
      </c>
      <c r="F100" s="10" t="str">
        <f aca="false">IF($H100="","",INDEX('Work Master'!$I:$I,$H100))</f>
        <v/>
      </c>
      <c r="H100" s="0" t="str">
        <f aca="false">IFERROR(MATCH(99,'Work Master'!$P:$P,0),"")</f>
        <v/>
      </c>
    </row>
    <row r="101" customFormat="false" ht="15" hidden="false" customHeight="false" outlineLevel="0" collapsed="false">
      <c r="A101" s="10" t="str">
        <f aca="false">IF($H101="","",INDEX('Work Master'!$A:$A,$H101))</f>
        <v/>
      </c>
      <c r="B101" s="10" t="str">
        <f aca="false">IF($H101="","",INDEX('Work Master'!$C:$C,$H101))</f>
        <v/>
      </c>
      <c r="C101" s="10" t="str">
        <f aca="false">IF($H101="","",INDEX('Work Master'!$D:$D,$H101))</f>
        <v/>
      </c>
      <c r="D101" s="10" t="str">
        <f aca="false">IF($H101="","",INDEX('Work Master'!$F:$F,$H101))</f>
        <v/>
      </c>
      <c r="E101" s="15" t="str">
        <f aca="false">IF($H101="","",INDEX('Work Master'!$G:$G,$H101))</f>
        <v/>
      </c>
      <c r="F101" s="10" t="str">
        <f aca="false">IF($H101="","",INDEX('Work Master'!$I:$I,$H101))</f>
        <v/>
      </c>
      <c r="H101" s="0" t="str">
        <f aca="false">IFERROR(MATCH(100,'Work Master'!$P:$P,0),"")</f>
        <v/>
      </c>
    </row>
    <row r="102" customFormat="false" ht="15" hidden="false" customHeight="false" outlineLevel="0" collapsed="false">
      <c r="A102" s="10" t="str">
        <f aca="false">IF($H102="","",INDEX('Work Master'!$A:$A,$H102))</f>
        <v/>
      </c>
      <c r="B102" s="10" t="str">
        <f aca="false">IF($H102="","",INDEX('Work Master'!$C:$C,$H102))</f>
        <v/>
      </c>
      <c r="C102" s="10" t="str">
        <f aca="false">IF($H102="","",INDEX('Work Master'!$D:$D,$H102))</f>
        <v/>
      </c>
      <c r="D102" s="10" t="str">
        <f aca="false">IF($H102="","",INDEX('Work Master'!$F:$F,$H102))</f>
        <v/>
      </c>
      <c r="E102" s="15" t="str">
        <f aca="false">IF($H102="","",INDEX('Work Master'!$G:$G,$H102))</f>
        <v/>
      </c>
      <c r="F102" s="10" t="str">
        <f aca="false">IF($H102="","",INDEX('Work Master'!$I:$I,$H102))</f>
        <v/>
      </c>
      <c r="H102" s="0" t="str">
        <f aca="false">IFERROR(MATCH(101,'Work Master'!$P:$P,0),"")</f>
        <v/>
      </c>
    </row>
    <row r="103" customFormat="false" ht="15" hidden="false" customHeight="false" outlineLevel="0" collapsed="false">
      <c r="A103" s="10" t="str">
        <f aca="false">IF($H103="","",INDEX('Work Master'!$A:$A,$H103))</f>
        <v/>
      </c>
      <c r="B103" s="10" t="str">
        <f aca="false">IF($H103="","",INDEX('Work Master'!$C:$C,$H103))</f>
        <v/>
      </c>
      <c r="C103" s="10" t="str">
        <f aca="false">IF($H103="","",INDEX('Work Master'!$D:$D,$H103))</f>
        <v/>
      </c>
      <c r="D103" s="10" t="str">
        <f aca="false">IF($H103="","",INDEX('Work Master'!$F:$F,$H103))</f>
        <v/>
      </c>
      <c r="E103" s="15" t="str">
        <f aca="false">IF($H103="","",INDEX('Work Master'!$G:$G,$H103))</f>
        <v/>
      </c>
      <c r="F103" s="10" t="str">
        <f aca="false">IF($H103="","",INDEX('Work Master'!$I:$I,$H103))</f>
        <v/>
      </c>
      <c r="H103" s="0" t="str">
        <f aca="false">IFERROR(MATCH(102,'Work Master'!$P:$P,0),"")</f>
        <v/>
      </c>
    </row>
    <row r="104" customFormat="false" ht="15" hidden="false" customHeight="false" outlineLevel="0" collapsed="false">
      <c r="A104" s="10" t="str">
        <f aca="false">IF($H104="","",INDEX('Work Master'!$A:$A,$H104))</f>
        <v/>
      </c>
      <c r="B104" s="10" t="str">
        <f aca="false">IF($H104="","",INDEX('Work Master'!$C:$C,$H104))</f>
        <v/>
      </c>
      <c r="C104" s="10" t="str">
        <f aca="false">IF($H104="","",INDEX('Work Master'!$D:$D,$H104))</f>
        <v/>
      </c>
      <c r="D104" s="10" t="str">
        <f aca="false">IF($H104="","",INDEX('Work Master'!$F:$F,$H104))</f>
        <v/>
      </c>
      <c r="E104" s="15" t="str">
        <f aca="false">IF($H104="","",INDEX('Work Master'!$G:$G,$H104))</f>
        <v/>
      </c>
      <c r="F104" s="10" t="str">
        <f aca="false">IF($H104="","",INDEX('Work Master'!$I:$I,$H104))</f>
        <v/>
      </c>
      <c r="H104" s="0" t="str">
        <f aca="false">IFERROR(MATCH(103,'Work Master'!$P:$P,0),"")</f>
        <v/>
      </c>
    </row>
    <row r="105" customFormat="false" ht="15" hidden="false" customHeight="false" outlineLevel="0" collapsed="false">
      <c r="A105" s="10" t="str">
        <f aca="false">IF($H105="","",INDEX('Work Master'!$A:$A,$H105))</f>
        <v/>
      </c>
      <c r="B105" s="10" t="str">
        <f aca="false">IF($H105="","",INDEX('Work Master'!$C:$C,$H105))</f>
        <v/>
      </c>
      <c r="C105" s="10" t="str">
        <f aca="false">IF($H105="","",INDEX('Work Master'!$D:$D,$H105))</f>
        <v/>
      </c>
      <c r="D105" s="10" t="str">
        <f aca="false">IF($H105="","",INDEX('Work Master'!$F:$F,$H105))</f>
        <v/>
      </c>
      <c r="E105" s="15" t="str">
        <f aca="false">IF($H105="","",INDEX('Work Master'!$G:$G,$H105))</f>
        <v/>
      </c>
      <c r="F105" s="10" t="str">
        <f aca="false">IF($H105="","",INDEX('Work Master'!$I:$I,$H105))</f>
        <v/>
      </c>
      <c r="H105" s="0" t="str">
        <f aca="false">IFERROR(MATCH(104,'Work Master'!$P:$P,0),"")</f>
        <v/>
      </c>
    </row>
    <row r="106" customFormat="false" ht="15" hidden="false" customHeight="false" outlineLevel="0" collapsed="false">
      <c r="A106" s="10" t="str">
        <f aca="false">IF($H106="","",INDEX('Work Master'!$A:$A,$H106))</f>
        <v/>
      </c>
      <c r="B106" s="10" t="str">
        <f aca="false">IF($H106="","",INDEX('Work Master'!$C:$C,$H106))</f>
        <v/>
      </c>
      <c r="C106" s="10" t="str">
        <f aca="false">IF($H106="","",INDEX('Work Master'!$D:$D,$H106))</f>
        <v/>
      </c>
      <c r="D106" s="10" t="str">
        <f aca="false">IF($H106="","",INDEX('Work Master'!$F:$F,$H106))</f>
        <v/>
      </c>
      <c r="E106" s="15" t="str">
        <f aca="false">IF($H106="","",INDEX('Work Master'!$G:$G,$H106))</f>
        <v/>
      </c>
      <c r="F106" s="10" t="str">
        <f aca="false">IF($H106="","",INDEX('Work Master'!$I:$I,$H106))</f>
        <v/>
      </c>
      <c r="H106" s="0" t="str">
        <f aca="false">IFERROR(MATCH(105,'Work Master'!$P:$P,0),"")</f>
        <v/>
      </c>
    </row>
    <row r="107" customFormat="false" ht="15" hidden="false" customHeight="false" outlineLevel="0" collapsed="false">
      <c r="A107" s="10" t="str">
        <f aca="false">IF($H107="","",INDEX('Work Master'!$A:$A,$H107))</f>
        <v/>
      </c>
      <c r="B107" s="10" t="str">
        <f aca="false">IF($H107="","",INDEX('Work Master'!$C:$C,$H107))</f>
        <v/>
      </c>
      <c r="C107" s="10" t="str">
        <f aca="false">IF($H107="","",INDEX('Work Master'!$D:$D,$H107))</f>
        <v/>
      </c>
      <c r="D107" s="10" t="str">
        <f aca="false">IF($H107="","",INDEX('Work Master'!$F:$F,$H107))</f>
        <v/>
      </c>
      <c r="E107" s="15" t="str">
        <f aca="false">IF($H107="","",INDEX('Work Master'!$G:$G,$H107))</f>
        <v/>
      </c>
      <c r="F107" s="10" t="str">
        <f aca="false">IF($H107="","",INDEX('Work Master'!$I:$I,$H107))</f>
        <v/>
      </c>
      <c r="H107" s="0" t="str">
        <f aca="false">IFERROR(MATCH(106,'Work Master'!$P:$P,0),"")</f>
        <v/>
      </c>
    </row>
    <row r="108" customFormat="false" ht="15" hidden="false" customHeight="false" outlineLevel="0" collapsed="false">
      <c r="A108" s="10" t="str">
        <f aca="false">IF($H108="","",INDEX('Work Master'!$A:$A,$H108))</f>
        <v/>
      </c>
      <c r="B108" s="10" t="str">
        <f aca="false">IF($H108="","",INDEX('Work Master'!$C:$C,$H108))</f>
        <v/>
      </c>
      <c r="C108" s="10" t="str">
        <f aca="false">IF($H108="","",INDEX('Work Master'!$D:$D,$H108))</f>
        <v/>
      </c>
      <c r="D108" s="10" t="str">
        <f aca="false">IF($H108="","",INDEX('Work Master'!$F:$F,$H108))</f>
        <v/>
      </c>
      <c r="E108" s="15" t="str">
        <f aca="false">IF($H108="","",INDEX('Work Master'!$G:$G,$H108))</f>
        <v/>
      </c>
      <c r="F108" s="10" t="str">
        <f aca="false">IF($H108="","",INDEX('Work Master'!$I:$I,$H108))</f>
        <v/>
      </c>
      <c r="H108" s="0" t="str">
        <f aca="false">IFERROR(MATCH(107,'Work Master'!$P:$P,0),"")</f>
        <v/>
      </c>
    </row>
    <row r="109" customFormat="false" ht="15" hidden="false" customHeight="false" outlineLevel="0" collapsed="false">
      <c r="A109" s="10" t="str">
        <f aca="false">IF($H109="","",INDEX('Work Master'!$A:$A,$H109))</f>
        <v/>
      </c>
      <c r="B109" s="10" t="str">
        <f aca="false">IF($H109="","",INDEX('Work Master'!$C:$C,$H109))</f>
        <v/>
      </c>
      <c r="C109" s="10" t="str">
        <f aca="false">IF($H109="","",INDEX('Work Master'!$D:$D,$H109))</f>
        <v/>
      </c>
      <c r="D109" s="10" t="str">
        <f aca="false">IF($H109="","",INDEX('Work Master'!$F:$F,$H109))</f>
        <v/>
      </c>
      <c r="E109" s="15" t="str">
        <f aca="false">IF($H109="","",INDEX('Work Master'!$G:$G,$H109))</f>
        <v/>
      </c>
      <c r="F109" s="10" t="str">
        <f aca="false">IF($H109="","",INDEX('Work Master'!$I:$I,$H109))</f>
        <v/>
      </c>
      <c r="H109" s="0" t="str">
        <f aca="false">IFERROR(MATCH(108,'Work Master'!$P:$P,0),"")</f>
        <v/>
      </c>
    </row>
    <row r="110" customFormat="false" ht="15" hidden="false" customHeight="false" outlineLevel="0" collapsed="false">
      <c r="A110" s="10" t="str">
        <f aca="false">IF($H110="","",INDEX('Work Master'!$A:$A,$H110))</f>
        <v/>
      </c>
      <c r="B110" s="10" t="str">
        <f aca="false">IF($H110="","",INDEX('Work Master'!$C:$C,$H110))</f>
        <v/>
      </c>
      <c r="C110" s="10" t="str">
        <f aca="false">IF($H110="","",INDEX('Work Master'!$D:$D,$H110))</f>
        <v/>
      </c>
      <c r="D110" s="10" t="str">
        <f aca="false">IF($H110="","",INDEX('Work Master'!$F:$F,$H110))</f>
        <v/>
      </c>
      <c r="E110" s="15" t="str">
        <f aca="false">IF($H110="","",INDEX('Work Master'!$G:$G,$H110))</f>
        <v/>
      </c>
      <c r="F110" s="10" t="str">
        <f aca="false">IF($H110="","",INDEX('Work Master'!$I:$I,$H110))</f>
        <v/>
      </c>
      <c r="H110" s="0" t="str">
        <f aca="false">IFERROR(MATCH(109,'Work Master'!$P:$P,0),"")</f>
        <v/>
      </c>
    </row>
    <row r="111" customFormat="false" ht="15" hidden="false" customHeight="false" outlineLevel="0" collapsed="false">
      <c r="A111" s="10" t="str">
        <f aca="false">IF($H111="","",INDEX('Work Master'!$A:$A,$H111))</f>
        <v/>
      </c>
      <c r="B111" s="10" t="str">
        <f aca="false">IF($H111="","",INDEX('Work Master'!$C:$C,$H111))</f>
        <v/>
      </c>
      <c r="C111" s="10" t="str">
        <f aca="false">IF($H111="","",INDEX('Work Master'!$D:$D,$H111))</f>
        <v/>
      </c>
      <c r="D111" s="10" t="str">
        <f aca="false">IF($H111="","",INDEX('Work Master'!$F:$F,$H111))</f>
        <v/>
      </c>
      <c r="E111" s="15" t="str">
        <f aca="false">IF($H111="","",INDEX('Work Master'!$G:$G,$H111))</f>
        <v/>
      </c>
      <c r="F111" s="10" t="str">
        <f aca="false">IF($H111="","",INDEX('Work Master'!$I:$I,$H111))</f>
        <v/>
      </c>
      <c r="H111" s="0" t="str">
        <f aca="false">IFERROR(MATCH(110,'Work Master'!$P:$P,0),"")</f>
        <v/>
      </c>
    </row>
    <row r="112" customFormat="false" ht="15" hidden="false" customHeight="false" outlineLevel="0" collapsed="false">
      <c r="A112" s="10" t="str">
        <f aca="false">IF($H112="","",INDEX('Work Master'!$A:$A,$H112))</f>
        <v/>
      </c>
      <c r="B112" s="10" t="str">
        <f aca="false">IF($H112="","",INDEX('Work Master'!$C:$C,$H112))</f>
        <v/>
      </c>
      <c r="C112" s="10" t="str">
        <f aca="false">IF($H112="","",INDEX('Work Master'!$D:$D,$H112))</f>
        <v/>
      </c>
      <c r="D112" s="10" t="str">
        <f aca="false">IF($H112="","",INDEX('Work Master'!$F:$F,$H112))</f>
        <v/>
      </c>
      <c r="E112" s="15" t="str">
        <f aca="false">IF($H112="","",INDEX('Work Master'!$G:$G,$H112))</f>
        <v/>
      </c>
      <c r="F112" s="10" t="str">
        <f aca="false">IF($H112="","",INDEX('Work Master'!$I:$I,$H112))</f>
        <v/>
      </c>
      <c r="H112" s="0" t="str">
        <f aca="false">IFERROR(MATCH(111,'Work Master'!$P:$P,0),"")</f>
        <v/>
      </c>
    </row>
    <row r="113" customFormat="false" ht="15" hidden="false" customHeight="false" outlineLevel="0" collapsed="false">
      <c r="A113" s="10" t="str">
        <f aca="false">IF($H113="","",INDEX('Work Master'!$A:$A,$H113))</f>
        <v/>
      </c>
      <c r="B113" s="10" t="str">
        <f aca="false">IF($H113="","",INDEX('Work Master'!$C:$C,$H113))</f>
        <v/>
      </c>
      <c r="C113" s="10" t="str">
        <f aca="false">IF($H113="","",INDEX('Work Master'!$D:$D,$H113))</f>
        <v/>
      </c>
      <c r="D113" s="10" t="str">
        <f aca="false">IF($H113="","",INDEX('Work Master'!$F:$F,$H113))</f>
        <v/>
      </c>
      <c r="E113" s="15" t="str">
        <f aca="false">IF($H113="","",INDEX('Work Master'!$G:$G,$H113))</f>
        <v/>
      </c>
      <c r="F113" s="10" t="str">
        <f aca="false">IF($H113="","",INDEX('Work Master'!$I:$I,$H113))</f>
        <v/>
      </c>
      <c r="H113" s="0" t="str">
        <f aca="false">IFERROR(MATCH(112,'Work Master'!$P:$P,0),"")</f>
        <v/>
      </c>
    </row>
    <row r="114" customFormat="false" ht="15" hidden="false" customHeight="false" outlineLevel="0" collapsed="false">
      <c r="A114" s="10" t="str">
        <f aca="false">IF($H114="","",INDEX('Work Master'!$A:$A,$H114))</f>
        <v/>
      </c>
      <c r="B114" s="10" t="str">
        <f aca="false">IF($H114="","",INDEX('Work Master'!$C:$C,$H114))</f>
        <v/>
      </c>
      <c r="C114" s="10" t="str">
        <f aca="false">IF($H114="","",INDEX('Work Master'!$D:$D,$H114))</f>
        <v/>
      </c>
      <c r="D114" s="10" t="str">
        <f aca="false">IF($H114="","",INDEX('Work Master'!$F:$F,$H114))</f>
        <v/>
      </c>
      <c r="E114" s="15" t="str">
        <f aca="false">IF($H114="","",INDEX('Work Master'!$G:$G,$H114))</f>
        <v/>
      </c>
      <c r="F114" s="10" t="str">
        <f aca="false">IF($H114="","",INDEX('Work Master'!$I:$I,$H114))</f>
        <v/>
      </c>
      <c r="H114" s="0" t="str">
        <f aca="false">IFERROR(MATCH(113,'Work Master'!$P:$P,0),"")</f>
        <v/>
      </c>
    </row>
    <row r="115" customFormat="false" ht="15" hidden="false" customHeight="false" outlineLevel="0" collapsed="false">
      <c r="A115" s="10" t="str">
        <f aca="false">IF($H115="","",INDEX('Work Master'!$A:$A,$H115))</f>
        <v/>
      </c>
      <c r="B115" s="10" t="str">
        <f aca="false">IF($H115="","",INDEX('Work Master'!$C:$C,$H115))</f>
        <v/>
      </c>
      <c r="C115" s="10" t="str">
        <f aca="false">IF($H115="","",INDEX('Work Master'!$D:$D,$H115))</f>
        <v/>
      </c>
      <c r="D115" s="10" t="str">
        <f aca="false">IF($H115="","",INDEX('Work Master'!$F:$F,$H115))</f>
        <v/>
      </c>
      <c r="E115" s="15" t="str">
        <f aca="false">IF($H115="","",INDEX('Work Master'!$G:$G,$H115))</f>
        <v/>
      </c>
      <c r="F115" s="10" t="str">
        <f aca="false">IF($H115="","",INDEX('Work Master'!$I:$I,$H115))</f>
        <v/>
      </c>
      <c r="H115" s="0" t="str">
        <f aca="false">IFERROR(MATCH(114,'Work Master'!$P:$P,0),"")</f>
        <v/>
      </c>
    </row>
    <row r="116" customFormat="false" ht="15" hidden="false" customHeight="false" outlineLevel="0" collapsed="false">
      <c r="A116" s="10" t="str">
        <f aca="false">IF($H116="","",INDEX('Work Master'!$A:$A,$H116))</f>
        <v/>
      </c>
      <c r="B116" s="10" t="str">
        <f aca="false">IF($H116="","",INDEX('Work Master'!$C:$C,$H116))</f>
        <v/>
      </c>
      <c r="C116" s="10" t="str">
        <f aca="false">IF($H116="","",INDEX('Work Master'!$D:$D,$H116))</f>
        <v/>
      </c>
      <c r="D116" s="10" t="str">
        <f aca="false">IF($H116="","",INDEX('Work Master'!$F:$F,$H116))</f>
        <v/>
      </c>
      <c r="E116" s="15" t="str">
        <f aca="false">IF($H116="","",INDEX('Work Master'!$G:$G,$H116))</f>
        <v/>
      </c>
      <c r="F116" s="10" t="str">
        <f aca="false">IF($H116="","",INDEX('Work Master'!$I:$I,$H116))</f>
        <v/>
      </c>
      <c r="H116" s="0" t="str">
        <f aca="false">IFERROR(MATCH(115,'Work Master'!$P:$P,0),"")</f>
        <v/>
      </c>
    </row>
    <row r="117" customFormat="false" ht="15" hidden="false" customHeight="false" outlineLevel="0" collapsed="false">
      <c r="A117" s="10" t="str">
        <f aca="false">IF($H117="","",INDEX('Work Master'!$A:$A,$H117))</f>
        <v/>
      </c>
      <c r="B117" s="10" t="str">
        <f aca="false">IF($H117="","",INDEX('Work Master'!$C:$C,$H117))</f>
        <v/>
      </c>
      <c r="C117" s="10" t="str">
        <f aca="false">IF($H117="","",INDEX('Work Master'!$D:$D,$H117))</f>
        <v/>
      </c>
      <c r="D117" s="10" t="str">
        <f aca="false">IF($H117="","",INDEX('Work Master'!$F:$F,$H117))</f>
        <v/>
      </c>
      <c r="E117" s="15" t="str">
        <f aca="false">IF($H117="","",INDEX('Work Master'!$G:$G,$H117))</f>
        <v/>
      </c>
      <c r="F117" s="10" t="str">
        <f aca="false">IF($H117="","",INDEX('Work Master'!$I:$I,$H117))</f>
        <v/>
      </c>
      <c r="H117" s="0" t="str">
        <f aca="false">IFERROR(MATCH(116,'Work Master'!$P:$P,0),"")</f>
        <v/>
      </c>
    </row>
    <row r="118" customFormat="false" ht="15" hidden="false" customHeight="false" outlineLevel="0" collapsed="false">
      <c r="A118" s="10" t="str">
        <f aca="false">IF($H118="","",INDEX('Work Master'!$A:$A,$H118))</f>
        <v/>
      </c>
      <c r="B118" s="10" t="str">
        <f aca="false">IF($H118="","",INDEX('Work Master'!$C:$C,$H118))</f>
        <v/>
      </c>
      <c r="C118" s="10" t="str">
        <f aca="false">IF($H118="","",INDEX('Work Master'!$D:$D,$H118))</f>
        <v/>
      </c>
      <c r="D118" s="10" t="str">
        <f aca="false">IF($H118="","",INDEX('Work Master'!$F:$F,$H118))</f>
        <v/>
      </c>
      <c r="E118" s="15" t="str">
        <f aca="false">IF($H118="","",INDEX('Work Master'!$G:$G,$H118))</f>
        <v/>
      </c>
      <c r="F118" s="10" t="str">
        <f aca="false">IF($H118="","",INDEX('Work Master'!$I:$I,$H118))</f>
        <v/>
      </c>
      <c r="H118" s="0" t="str">
        <f aca="false">IFERROR(MATCH(117,'Work Master'!$P:$P,0),"")</f>
        <v/>
      </c>
    </row>
    <row r="119" customFormat="false" ht="15" hidden="false" customHeight="false" outlineLevel="0" collapsed="false">
      <c r="A119" s="10" t="str">
        <f aca="false">IF($H119="","",INDEX('Work Master'!$A:$A,$H119))</f>
        <v/>
      </c>
      <c r="B119" s="10" t="str">
        <f aca="false">IF($H119="","",INDEX('Work Master'!$C:$C,$H119))</f>
        <v/>
      </c>
      <c r="C119" s="10" t="str">
        <f aca="false">IF($H119="","",INDEX('Work Master'!$D:$D,$H119))</f>
        <v/>
      </c>
      <c r="D119" s="10" t="str">
        <f aca="false">IF($H119="","",INDEX('Work Master'!$F:$F,$H119))</f>
        <v/>
      </c>
      <c r="E119" s="15" t="str">
        <f aca="false">IF($H119="","",INDEX('Work Master'!$G:$G,$H119))</f>
        <v/>
      </c>
      <c r="F119" s="10" t="str">
        <f aca="false">IF($H119="","",INDEX('Work Master'!$I:$I,$H119))</f>
        <v/>
      </c>
      <c r="H119" s="0" t="str">
        <f aca="false">IFERROR(MATCH(118,'Work Master'!$P:$P,0),"")</f>
        <v/>
      </c>
    </row>
    <row r="120" customFormat="false" ht="15" hidden="false" customHeight="false" outlineLevel="0" collapsed="false">
      <c r="A120" s="10" t="str">
        <f aca="false">IF($H120="","",INDEX('Work Master'!$A:$A,$H120))</f>
        <v/>
      </c>
      <c r="B120" s="10" t="str">
        <f aca="false">IF($H120="","",INDEX('Work Master'!$C:$C,$H120))</f>
        <v/>
      </c>
      <c r="C120" s="10" t="str">
        <f aca="false">IF($H120="","",INDEX('Work Master'!$D:$D,$H120))</f>
        <v/>
      </c>
      <c r="D120" s="10" t="str">
        <f aca="false">IF($H120="","",INDEX('Work Master'!$F:$F,$H120))</f>
        <v/>
      </c>
      <c r="E120" s="15" t="str">
        <f aca="false">IF($H120="","",INDEX('Work Master'!$G:$G,$H120))</f>
        <v/>
      </c>
      <c r="F120" s="10" t="str">
        <f aca="false">IF($H120="","",INDEX('Work Master'!$I:$I,$H120))</f>
        <v/>
      </c>
      <c r="H120" s="0" t="str">
        <f aca="false">IFERROR(MATCH(119,'Work Master'!$P:$P,0),"")</f>
        <v/>
      </c>
    </row>
    <row r="121" customFormat="false" ht="15" hidden="false" customHeight="false" outlineLevel="0" collapsed="false">
      <c r="A121" s="10" t="str">
        <f aca="false">IF($H121="","",INDEX('Work Master'!$A:$A,$H121))</f>
        <v/>
      </c>
      <c r="B121" s="10" t="str">
        <f aca="false">IF($H121="","",INDEX('Work Master'!$C:$C,$H121))</f>
        <v/>
      </c>
      <c r="C121" s="10" t="str">
        <f aca="false">IF($H121="","",INDEX('Work Master'!$D:$D,$H121))</f>
        <v/>
      </c>
      <c r="D121" s="10" t="str">
        <f aca="false">IF($H121="","",INDEX('Work Master'!$F:$F,$H121))</f>
        <v/>
      </c>
      <c r="E121" s="15" t="str">
        <f aca="false">IF($H121="","",INDEX('Work Master'!$G:$G,$H121))</f>
        <v/>
      </c>
      <c r="F121" s="10" t="str">
        <f aca="false">IF($H121="","",INDEX('Work Master'!$I:$I,$H121))</f>
        <v/>
      </c>
      <c r="H121" s="0" t="str">
        <f aca="false">IFERROR(MATCH(120,'Work Master'!$P:$P,0),"")</f>
        <v/>
      </c>
    </row>
    <row r="122" customFormat="false" ht="15" hidden="false" customHeight="false" outlineLevel="0" collapsed="false">
      <c r="A122" s="10" t="str">
        <f aca="false">IF($H122="","",INDEX('Work Master'!$A:$A,$H122))</f>
        <v/>
      </c>
      <c r="B122" s="10" t="str">
        <f aca="false">IF($H122="","",INDEX('Work Master'!$C:$C,$H122))</f>
        <v/>
      </c>
      <c r="C122" s="10" t="str">
        <f aca="false">IF($H122="","",INDEX('Work Master'!$D:$D,$H122))</f>
        <v/>
      </c>
      <c r="D122" s="10" t="str">
        <f aca="false">IF($H122="","",INDEX('Work Master'!$F:$F,$H122))</f>
        <v/>
      </c>
      <c r="E122" s="15" t="str">
        <f aca="false">IF($H122="","",INDEX('Work Master'!$G:$G,$H122))</f>
        <v/>
      </c>
      <c r="F122" s="10" t="str">
        <f aca="false">IF($H122="","",INDEX('Work Master'!$I:$I,$H122))</f>
        <v/>
      </c>
      <c r="H122" s="0" t="str">
        <f aca="false">IFERROR(MATCH(121,'Work Master'!$P:$P,0),"")</f>
        <v/>
      </c>
    </row>
    <row r="123" customFormat="false" ht="15" hidden="false" customHeight="false" outlineLevel="0" collapsed="false">
      <c r="A123" s="10" t="str">
        <f aca="false">IF($H123="","",INDEX('Work Master'!$A:$A,$H123))</f>
        <v/>
      </c>
      <c r="B123" s="10" t="str">
        <f aca="false">IF($H123="","",INDEX('Work Master'!$C:$C,$H123))</f>
        <v/>
      </c>
      <c r="C123" s="10" t="str">
        <f aca="false">IF($H123="","",INDEX('Work Master'!$D:$D,$H123))</f>
        <v/>
      </c>
      <c r="D123" s="10" t="str">
        <f aca="false">IF($H123="","",INDEX('Work Master'!$F:$F,$H123))</f>
        <v/>
      </c>
      <c r="E123" s="15" t="str">
        <f aca="false">IF($H123="","",INDEX('Work Master'!$G:$G,$H123))</f>
        <v/>
      </c>
      <c r="F123" s="10" t="str">
        <f aca="false">IF($H123="","",INDEX('Work Master'!$I:$I,$H123))</f>
        <v/>
      </c>
      <c r="H123" s="0" t="str">
        <f aca="false">IFERROR(MATCH(122,'Work Master'!$P:$P,0),"")</f>
        <v/>
      </c>
    </row>
    <row r="124" customFormat="false" ht="15" hidden="false" customHeight="false" outlineLevel="0" collapsed="false">
      <c r="A124" s="10" t="str">
        <f aca="false">IF($H124="","",INDEX('Work Master'!$A:$A,$H124))</f>
        <v/>
      </c>
      <c r="B124" s="10" t="str">
        <f aca="false">IF($H124="","",INDEX('Work Master'!$C:$C,$H124))</f>
        <v/>
      </c>
      <c r="C124" s="10" t="str">
        <f aca="false">IF($H124="","",INDEX('Work Master'!$D:$D,$H124))</f>
        <v/>
      </c>
      <c r="D124" s="10" t="str">
        <f aca="false">IF($H124="","",INDEX('Work Master'!$F:$F,$H124))</f>
        <v/>
      </c>
      <c r="E124" s="15" t="str">
        <f aca="false">IF($H124="","",INDEX('Work Master'!$G:$G,$H124))</f>
        <v/>
      </c>
      <c r="F124" s="10" t="str">
        <f aca="false">IF($H124="","",INDEX('Work Master'!$I:$I,$H124))</f>
        <v/>
      </c>
      <c r="H124" s="0" t="str">
        <f aca="false">IFERROR(MATCH(123,'Work Master'!$P:$P,0),"")</f>
        <v/>
      </c>
    </row>
    <row r="125" customFormat="false" ht="15" hidden="false" customHeight="false" outlineLevel="0" collapsed="false">
      <c r="A125" s="10" t="str">
        <f aca="false">IF($H125="","",INDEX('Work Master'!$A:$A,$H125))</f>
        <v/>
      </c>
      <c r="B125" s="10" t="str">
        <f aca="false">IF($H125="","",INDEX('Work Master'!$C:$C,$H125))</f>
        <v/>
      </c>
      <c r="C125" s="10" t="str">
        <f aca="false">IF($H125="","",INDEX('Work Master'!$D:$D,$H125))</f>
        <v/>
      </c>
      <c r="D125" s="10" t="str">
        <f aca="false">IF($H125="","",INDEX('Work Master'!$F:$F,$H125))</f>
        <v/>
      </c>
      <c r="E125" s="15" t="str">
        <f aca="false">IF($H125="","",INDEX('Work Master'!$G:$G,$H125))</f>
        <v/>
      </c>
      <c r="F125" s="10" t="str">
        <f aca="false">IF($H125="","",INDEX('Work Master'!$I:$I,$H125))</f>
        <v/>
      </c>
      <c r="H125" s="0" t="str">
        <f aca="false">IFERROR(MATCH(124,'Work Master'!$P:$P,0),"")</f>
        <v/>
      </c>
    </row>
    <row r="126" customFormat="false" ht="15" hidden="false" customHeight="false" outlineLevel="0" collapsed="false">
      <c r="A126" s="10" t="str">
        <f aca="false">IF($H126="","",INDEX('Work Master'!$A:$A,$H126))</f>
        <v/>
      </c>
      <c r="B126" s="10" t="str">
        <f aca="false">IF($H126="","",INDEX('Work Master'!$C:$C,$H126))</f>
        <v/>
      </c>
      <c r="C126" s="10" t="str">
        <f aca="false">IF($H126="","",INDEX('Work Master'!$D:$D,$H126))</f>
        <v/>
      </c>
      <c r="D126" s="10" t="str">
        <f aca="false">IF($H126="","",INDEX('Work Master'!$F:$F,$H126))</f>
        <v/>
      </c>
      <c r="E126" s="15" t="str">
        <f aca="false">IF($H126="","",INDEX('Work Master'!$G:$G,$H126))</f>
        <v/>
      </c>
      <c r="F126" s="10" t="str">
        <f aca="false">IF($H126="","",INDEX('Work Master'!$I:$I,$H126))</f>
        <v/>
      </c>
      <c r="H126" s="0" t="str">
        <f aca="false">IFERROR(MATCH(125,'Work Master'!$P:$P,0),"")</f>
        <v/>
      </c>
    </row>
    <row r="127" customFormat="false" ht="15" hidden="false" customHeight="false" outlineLevel="0" collapsed="false">
      <c r="A127" s="10" t="str">
        <f aca="false">IF($H127="","",INDEX('Work Master'!$A:$A,$H127))</f>
        <v/>
      </c>
      <c r="B127" s="10" t="str">
        <f aca="false">IF($H127="","",INDEX('Work Master'!$C:$C,$H127))</f>
        <v/>
      </c>
      <c r="C127" s="10" t="str">
        <f aca="false">IF($H127="","",INDEX('Work Master'!$D:$D,$H127))</f>
        <v/>
      </c>
      <c r="D127" s="10" t="str">
        <f aca="false">IF($H127="","",INDEX('Work Master'!$F:$F,$H127))</f>
        <v/>
      </c>
      <c r="E127" s="15" t="str">
        <f aca="false">IF($H127="","",INDEX('Work Master'!$G:$G,$H127))</f>
        <v/>
      </c>
      <c r="F127" s="10" t="str">
        <f aca="false">IF($H127="","",INDEX('Work Master'!$I:$I,$H127))</f>
        <v/>
      </c>
      <c r="H127" s="0" t="str">
        <f aca="false">IFERROR(MATCH(126,'Work Master'!$P:$P,0),"")</f>
        <v/>
      </c>
    </row>
    <row r="128" customFormat="false" ht="15" hidden="false" customHeight="false" outlineLevel="0" collapsed="false">
      <c r="A128" s="10" t="str">
        <f aca="false">IF($H128="","",INDEX('Work Master'!$A:$A,$H128))</f>
        <v/>
      </c>
      <c r="B128" s="10" t="str">
        <f aca="false">IF($H128="","",INDEX('Work Master'!$C:$C,$H128))</f>
        <v/>
      </c>
      <c r="C128" s="10" t="str">
        <f aca="false">IF($H128="","",INDEX('Work Master'!$D:$D,$H128))</f>
        <v/>
      </c>
      <c r="D128" s="10" t="str">
        <f aca="false">IF($H128="","",INDEX('Work Master'!$F:$F,$H128))</f>
        <v/>
      </c>
      <c r="E128" s="15" t="str">
        <f aca="false">IF($H128="","",INDEX('Work Master'!$G:$G,$H128))</f>
        <v/>
      </c>
      <c r="F128" s="10" t="str">
        <f aca="false">IF($H128="","",INDEX('Work Master'!$I:$I,$H128))</f>
        <v/>
      </c>
      <c r="H128" s="0" t="str">
        <f aca="false">IFERROR(MATCH(127,'Work Master'!$P:$P,0),"")</f>
        <v/>
      </c>
    </row>
    <row r="129" customFormat="false" ht="15" hidden="false" customHeight="false" outlineLevel="0" collapsed="false">
      <c r="A129" s="10" t="str">
        <f aca="false">IF($H129="","",INDEX('Work Master'!$A:$A,$H129))</f>
        <v/>
      </c>
      <c r="B129" s="10" t="str">
        <f aca="false">IF($H129="","",INDEX('Work Master'!$C:$C,$H129))</f>
        <v/>
      </c>
      <c r="C129" s="10" t="str">
        <f aca="false">IF($H129="","",INDEX('Work Master'!$D:$D,$H129))</f>
        <v/>
      </c>
      <c r="D129" s="10" t="str">
        <f aca="false">IF($H129="","",INDEX('Work Master'!$F:$F,$H129))</f>
        <v/>
      </c>
      <c r="E129" s="15" t="str">
        <f aca="false">IF($H129="","",INDEX('Work Master'!$G:$G,$H129))</f>
        <v/>
      </c>
      <c r="F129" s="10" t="str">
        <f aca="false">IF($H129="","",INDEX('Work Master'!$I:$I,$H129))</f>
        <v/>
      </c>
      <c r="H129" s="0" t="str">
        <f aca="false">IFERROR(MATCH(128,'Work Master'!$P:$P,0),"")</f>
        <v/>
      </c>
    </row>
    <row r="130" customFormat="false" ht="15" hidden="false" customHeight="false" outlineLevel="0" collapsed="false">
      <c r="A130" s="10" t="str">
        <f aca="false">IF($H130="","",INDEX('Work Master'!$A:$A,$H130))</f>
        <v/>
      </c>
      <c r="B130" s="10" t="str">
        <f aca="false">IF($H130="","",INDEX('Work Master'!$C:$C,$H130))</f>
        <v/>
      </c>
      <c r="C130" s="10" t="str">
        <f aca="false">IF($H130="","",INDEX('Work Master'!$D:$D,$H130))</f>
        <v/>
      </c>
      <c r="D130" s="10" t="str">
        <f aca="false">IF($H130="","",INDEX('Work Master'!$F:$F,$H130))</f>
        <v/>
      </c>
      <c r="E130" s="15" t="str">
        <f aca="false">IF($H130="","",INDEX('Work Master'!$G:$G,$H130))</f>
        <v/>
      </c>
      <c r="F130" s="10" t="str">
        <f aca="false">IF($H130="","",INDEX('Work Master'!$I:$I,$H130))</f>
        <v/>
      </c>
      <c r="H130" s="0" t="str">
        <f aca="false">IFERROR(MATCH(129,'Work Master'!$P:$P,0),"")</f>
        <v/>
      </c>
    </row>
    <row r="131" customFormat="false" ht="15" hidden="false" customHeight="false" outlineLevel="0" collapsed="false">
      <c r="A131" s="10" t="str">
        <f aca="false">IF($H131="","",INDEX('Work Master'!$A:$A,$H131))</f>
        <v/>
      </c>
      <c r="B131" s="10" t="str">
        <f aca="false">IF($H131="","",INDEX('Work Master'!$C:$C,$H131))</f>
        <v/>
      </c>
      <c r="C131" s="10" t="str">
        <f aca="false">IF($H131="","",INDEX('Work Master'!$D:$D,$H131))</f>
        <v/>
      </c>
      <c r="D131" s="10" t="str">
        <f aca="false">IF($H131="","",INDEX('Work Master'!$F:$F,$H131))</f>
        <v/>
      </c>
      <c r="E131" s="15" t="str">
        <f aca="false">IF($H131="","",INDEX('Work Master'!$G:$G,$H131))</f>
        <v/>
      </c>
      <c r="F131" s="10" t="str">
        <f aca="false">IF($H131="","",INDEX('Work Master'!$I:$I,$H131))</f>
        <v/>
      </c>
      <c r="H131" s="0" t="str">
        <f aca="false">IFERROR(MATCH(130,'Work Master'!$P:$P,0),"")</f>
        <v/>
      </c>
    </row>
    <row r="132" customFormat="false" ht="15" hidden="false" customHeight="false" outlineLevel="0" collapsed="false">
      <c r="A132" s="10" t="str">
        <f aca="false">IF($H132="","",INDEX('Work Master'!$A:$A,$H132))</f>
        <v/>
      </c>
      <c r="B132" s="10" t="str">
        <f aca="false">IF($H132="","",INDEX('Work Master'!$C:$C,$H132))</f>
        <v/>
      </c>
      <c r="C132" s="10" t="str">
        <f aca="false">IF($H132="","",INDEX('Work Master'!$D:$D,$H132))</f>
        <v/>
      </c>
      <c r="D132" s="10" t="str">
        <f aca="false">IF($H132="","",INDEX('Work Master'!$F:$F,$H132))</f>
        <v/>
      </c>
      <c r="E132" s="15" t="str">
        <f aca="false">IF($H132="","",INDEX('Work Master'!$G:$G,$H132))</f>
        <v/>
      </c>
      <c r="F132" s="10" t="str">
        <f aca="false">IF($H132="","",INDEX('Work Master'!$I:$I,$H132))</f>
        <v/>
      </c>
      <c r="H132" s="0" t="str">
        <f aca="false">IFERROR(MATCH(131,'Work Master'!$P:$P,0),"")</f>
        <v/>
      </c>
    </row>
    <row r="133" customFormat="false" ht="15" hidden="false" customHeight="false" outlineLevel="0" collapsed="false">
      <c r="A133" s="10" t="str">
        <f aca="false">IF($H133="","",INDEX('Work Master'!$A:$A,$H133))</f>
        <v/>
      </c>
      <c r="B133" s="10" t="str">
        <f aca="false">IF($H133="","",INDEX('Work Master'!$C:$C,$H133))</f>
        <v/>
      </c>
      <c r="C133" s="10" t="str">
        <f aca="false">IF($H133="","",INDEX('Work Master'!$D:$D,$H133))</f>
        <v/>
      </c>
      <c r="D133" s="10" t="str">
        <f aca="false">IF($H133="","",INDEX('Work Master'!$F:$F,$H133))</f>
        <v/>
      </c>
      <c r="E133" s="15" t="str">
        <f aca="false">IF($H133="","",INDEX('Work Master'!$G:$G,$H133))</f>
        <v/>
      </c>
      <c r="F133" s="10" t="str">
        <f aca="false">IF($H133="","",INDEX('Work Master'!$I:$I,$H133))</f>
        <v/>
      </c>
      <c r="H133" s="0" t="str">
        <f aca="false">IFERROR(MATCH(132,'Work Master'!$P:$P,0),"")</f>
        <v/>
      </c>
    </row>
    <row r="134" customFormat="false" ht="15" hidden="false" customHeight="false" outlineLevel="0" collapsed="false">
      <c r="A134" s="10" t="str">
        <f aca="false">IF($H134="","",INDEX('Work Master'!$A:$A,$H134))</f>
        <v/>
      </c>
      <c r="B134" s="10" t="str">
        <f aca="false">IF($H134="","",INDEX('Work Master'!$C:$C,$H134))</f>
        <v/>
      </c>
      <c r="C134" s="10" t="str">
        <f aca="false">IF($H134="","",INDEX('Work Master'!$D:$D,$H134))</f>
        <v/>
      </c>
      <c r="D134" s="10" t="str">
        <f aca="false">IF($H134="","",INDEX('Work Master'!$F:$F,$H134))</f>
        <v/>
      </c>
      <c r="E134" s="15" t="str">
        <f aca="false">IF($H134="","",INDEX('Work Master'!$G:$G,$H134))</f>
        <v/>
      </c>
      <c r="F134" s="10" t="str">
        <f aca="false">IF($H134="","",INDEX('Work Master'!$I:$I,$H134))</f>
        <v/>
      </c>
      <c r="H134" s="0" t="str">
        <f aca="false">IFERROR(MATCH(133,'Work Master'!$P:$P,0),"")</f>
        <v/>
      </c>
    </row>
    <row r="135" customFormat="false" ht="15" hidden="false" customHeight="false" outlineLevel="0" collapsed="false">
      <c r="A135" s="10" t="str">
        <f aca="false">IF($H135="","",INDEX('Work Master'!$A:$A,$H135))</f>
        <v/>
      </c>
      <c r="B135" s="10" t="str">
        <f aca="false">IF($H135="","",INDEX('Work Master'!$C:$C,$H135))</f>
        <v/>
      </c>
      <c r="C135" s="10" t="str">
        <f aca="false">IF($H135="","",INDEX('Work Master'!$D:$D,$H135))</f>
        <v/>
      </c>
      <c r="D135" s="10" t="str">
        <f aca="false">IF($H135="","",INDEX('Work Master'!$F:$F,$H135))</f>
        <v/>
      </c>
      <c r="E135" s="15" t="str">
        <f aca="false">IF($H135="","",INDEX('Work Master'!$G:$G,$H135))</f>
        <v/>
      </c>
      <c r="F135" s="10" t="str">
        <f aca="false">IF($H135="","",INDEX('Work Master'!$I:$I,$H135))</f>
        <v/>
      </c>
      <c r="H135" s="0" t="str">
        <f aca="false">IFERROR(MATCH(134,'Work Master'!$P:$P,0),"")</f>
        <v/>
      </c>
    </row>
    <row r="136" customFormat="false" ht="15" hidden="false" customHeight="false" outlineLevel="0" collapsed="false">
      <c r="A136" s="10" t="str">
        <f aca="false">IF($H136="","",INDEX('Work Master'!$A:$A,$H136))</f>
        <v/>
      </c>
      <c r="B136" s="10" t="str">
        <f aca="false">IF($H136="","",INDEX('Work Master'!$C:$C,$H136))</f>
        <v/>
      </c>
      <c r="C136" s="10" t="str">
        <f aca="false">IF($H136="","",INDEX('Work Master'!$D:$D,$H136))</f>
        <v/>
      </c>
      <c r="D136" s="10" t="str">
        <f aca="false">IF($H136="","",INDEX('Work Master'!$F:$F,$H136))</f>
        <v/>
      </c>
      <c r="E136" s="15" t="str">
        <f aca="false">IF($H136="","",INDEX('Work Master'!$G:$G,$H136))</f>
        <v/>
      </c>
      <c r="F136" s="10" t="str">
        <f aca="false">IF($H136="","",INDEX('Work Master'!$I:$I,$H136))</f>
        <v/>
      </c>
      <c r="H136" s="0" t="str">
        <f aca="false">IFERROR(MATCH(135,'Work Master'!$P:$P,0),"")</f>
        <v/>
      </c>
    </row>
    <row r="137" customFormat="false" ht="15" hidden="false" customHeight="false" outlineLevel="0" collapsed="false">
      <c r="A137" s="10" t="str">
        <f aca="false">IF($H137="","",INDEX('Work Master'!$A:$A,$H137))</f>
        <v/>
      </c>
      <c r="B137" s="10" t="str">
        <f aca="false">IF($H137="","",INDEX('Work Master'!$C:$C,$H137))</f>
        <v/>
      </c>
      <c r="C137" s="10" t="str">
        <f aca="false">IF($H137="","",INDEX('Work Master'!$D:$D,$H137))</f>
        <v/>
      </c>
      <c r="D137" s="10" t="str">
        <f aca="false">IF($H137="","",INDEX('Work Master'!$F:$F,$H137))</f>
        <v/>
      </c>
      <c r="E137" s="15" t="str">
        <f aca="false">IF($H137="","",INDEX('Work Master'!$G:$G,$H137))</f>
        <v/>
      </c>
      <c r="F137" s="10" t="str">
        <f aca="false">IF($H137="","",INDEX('Work Master'!$I:$I,$H137))</f>
        <v/>
      </c>
      <c r="H137" s="0" t="str">
        <f aca="false">IFERROR(MATCH(136,'Work Master'!$P:$P,0),"")</f>
        <v/>
      </c>
    </row>
    <row r="138" customFormat="false" ht="15" hidden="false" customHeight="false" outlineLevel="0" collapsed="false">
      <c r="A138" s="10" t="str">
        <f aca="false">IF($H138="","",INDEX('Work Master'!$A:$A,$H138))</f>
        <v/>
      </c>
      <c r="B138" s="10" t="str">
        <f aca="false">IF($H138="","",INDEX('Work Master'!$C:$C,$H138))</f>
        <v/>
      </c>
      <c r="C138" s="10" t="str">
        <f aca="false">IF($H138="","",INDEX('Work Master'!$D:$D,$H138))</f>
        <v/>
      </c>
      <c r="D138" s="10" t="str">
        <f aca="false">IF($H138="","",INDEX('Work Master'!$F:$F,$H138))</f>
        <v/>
      </c>
      <c r="E138" s="15" t="str">
        <f aca="false">IF($H138="","",INDEX('Work Master'!$G:$G,$H138))</f>
        <v/>
      </c>
      <c r="F138" s="10" t="str">
        <f aca="false">IF($H138="","",INDEX('Work Master'!$I:$I,$H138))</f>
        <v/>
      </c>
      <c r="H138" s="0" t="str">
        <f aca="false">IFERROR(MATCH(137,'Work Master'!$P:$P,0),"")</f>
        <v/>
      </c>
    </row>
    <row r="139" customFormat="false" ht="15" hidden="false" customHeight="false" outlineLevel="0" collapsed="false">
      <c r="A139" s="10" t="str">
        <f aca="false">IF($H139="","",INDEX('Work Master'!$A:$A,$H139))</f>
        <v/>
      </c>
      <c r="B139" s="10" t="str">
        <f aca="false">IF($H139="","",INDEX('Work Master'!$C:$C,$H139))</f>
        <v/>
      </c>
      <c r="C139" s="10" t="str">
        <f aca="false">IF($H139="","",INDEX('Work Master'!$D:$D,$H139))</f>
        <v/>
      </c>
      <c r="D139" s="10" t="str">
        <f aca="false">IF($H139="","",INDEX('Work Master'!$F:$F,$H139))</f>
        <v/>
      </c>
      <c r="E139" s="15" t="str">
        <f aca="false">IF($H139="","",INDEX('Work Master'!$G:$G,$H139))</f>
        <v/>
      </c>
      <c r="F139" s="10" t="str">
        <f aca="false">IF($H139="","",INDEX('Work Master'!$I:$I,$H139))</f>
        <v/>
      </c>
      <c r="H139" s="0" t="str">
        <f aca="false">IFERROR(MATCH(138,'Work Master'!$P:$P,0),"")</f>
        <v/>
      </c>
    </row>
    <row r="140" customFormat="false" ht="15" hidden="false" customHeight="false" outlineLevel="0" collapsed="false">
      <c r="A140" s="10" t="str">
        <f aca="false">IF($H140="","",INDEX('Work Master'!$A:$A,$H140))</f>
        <v/>
      </c>
      <c r="B140" s="10" t="str">
        <f aca="false">IF($H140="","",INDEX('Work Master'!$C:$C,$H140))</f>
        <v/>
      </c>
      <c r="C140" s="10" t="str">
        <f aca="false">IF($H140="","",INDEX('Work Master'!$D:$D,$H140))</f>
        <v/>
      </c>
      <c r="D140" s="10" t="str">
        <f aca="false">IF($H140="","",INDEX('Work Master'!$F:$F,$H140))</f>
        <v/>
      </c>
      <c r="E140" s="15" t="str">
        <f aca="false">IF($H140="","",INDEX('Work Master'!$G:$G,$H140))</f>
        <v/>
      </c>
      <c r="F140" s="10" t="str">
        <f aca="false">IF($H140="","",INDEX('Work Master'!$I:$I,$H140))</f>
        <v/>
      </c>
      <c r="H140" s="0" t="str">
        <f aca="false">IFERROR(MATCH(139,'Work Master'!$P:$P,0),"")</f>
        <v/>
      </c>
    </row>
    <row r="141" customFormat="false" ht="15" hidden="false" customHeight="false" outlineLevel="0" collapsed="false">
      <c r="A141" s="10" t="str">
        <f aca="false">IF($H141="","",INDEX('Work Master'!$A:$A,$H141))</f>
        <v/>
      </c>
      <c r="B141" s="10" t="str">
        <f aca="false">IF($H141="","",INDEX('Work Master'!$C:$C,$H141))</f>
        <v/>
      </c>
      <c r="C141" s="10" t="str">
        <f aca="false">IF($H141="","",INDEX('Work Master'!$D:$D,$H141))</f>
        <v/>
      </c>
      <c r="D141" s="10" t="str">
        <f aca="false">IF($H141="","",INDEX('Work Master'!$F:$F,$H141))</f>
        <v/>
      </c>
      <c r="E141" s="15" t="str">
        <f aca="false">IF($H141="","",INDEX('Work Master'!$G:$G,$H141))</f>
        <v/>
      </c>
      <c r="F141" s="10" t="str">
        <f aca="false">IF($H141="","",INDEX('Work Master'!$I:$I,$H141))</f>
        <v/>
      </c>
      <c r="H141" s="0" t="str">
        <f aca="false">IFERROR(MATCH(140,'Work Master'!$P:$P,0),"")</f>
        <v/>
      </c>
    </row>
    <row r="142" customFormat="false" ht="15" hidden="false" customHeight="false" outlineLevel="0" collapsed="false">
      <c r="A142" s="10" t="str">
        <f aca="false">IF($H142="","",INDEX('Work Master'!$A:$A,$H142))</f>
        <v/>
      </c>
      <c r="B142" s="10" t="str">
        <f aca="false">IF($H142="","",INDEX('Work Master'!$C:$C,$H142))</f>
        <v/>
      </c>
      <c r="C142" s="10" t="str">
        <f aca="false">IF($H142="","",INDEX('Work Master'!$D:$D,$H142))</f>
        <v/>
      </c>
      <c r="D142" s="10" t="str">
        <f aca="false">IF($H142="","",INDEX('Work Master'!$F:$F,$H142))</f>
        <v/>
      </c>
      <c r="E142" s="15" t="str">
        <f aca="false">IF($H142="","",INDEX('Work Master'!$G:$G,$H142))</f>
        <v/>
      </c>
      <c r="F142" s="10" t="str">
        <f aca="false">IF($H142="","",INDEX('Work Master'!$I:$I,$H142))</f>
        <v/>
      </c>
      <c r="H142" s="0" t="str">
        <f aca="false">IFERROR(MATCH(141,'Work Master'!$P:$P,0),"")</f>
        <v/>
      </c>
    </row>
    <row r="143" customFormat="false" ht="15" hidden="false" customHeight="false" outlineLevel="0" collapsed="false">
      <c r="A143" s="10" t="str">
        <f aca="false">IF($H143="","",INDEX('Work Master'!$A:$A,$H143))</f>
        <v/>
      </c>
      <c r="B143" s="10" t="str">
        <f aca="false">IF($H143="","",INDEX('Work Master'!$C:$C,$H143))</f>
        <v/>
      </c>
      <c r="C143" s="10" t="str">
        <f aca="false">IF($H143="","",INDEX('Work Master'!$D:$D,$H143))</f>
        <v/>
      </c>
      <c r="D143" s="10" t="str">
        <f aca="false">IF($H143="","",INDEX('Work Master'!$F:$F,$H143))</f>
        <v/>
      </c>
      <c r="E143" s="15" t="str">
        <f aca="false">IF($H143="","",INDEX('Work Master'!$G:$G,$H143))</f>
        <v/>
      </c>
      <c r="F143" s="10" t="str">
        <f aca="false">IF($H143="","",INDEX('Work Master'!$I:$I,$H143))</f>
        <v/>
      </c>
      <c r="H143" s="0" t="str">
        <f aca="false">IFERROR(MATCH(142,'Work Master'!$P:$P,0),"")</f>
        <v/>
      </c>
    </row>
    <row r="144" customFormat="false" ht="15" hidden="false" customHeight="false" outlineLevel="0" collapsed="false">
      <c r="A144" s="10" t="str">
        <f aca="false">IF($H144="","",INDEX('Work Master'!$A:$A,$H144))</f>
        <v/>
      </c>
      <c r="B144" s="10" t="str">
        <f aca="false">IF($H144="","",INDEX('Work Master'!$C:$C,$H144))</f>
        <v/>
      </c>
      <c r="C144" s="10" t="str">
        <f aca="false">IF($H144="","",INDEX('Work Master'!$D:$D,$H144))</f>
        <v/>
      </c>
      <c r="D144" s="10" t="str">
        <f aca="false">IF($H144="","",INDEX('Work Master'!$F:$F,$H144))</f>
        <v/>
      </c>
      <c r="E144" s="15" t="str">
        <f aca="false">IF($H144="","",INDEX('Work Master'!$G:$G,$H144))</f>
        <v/>
      </c>
      <c r="F144" s="10" t="str">
        <f aca="false">IF($H144="","",INDEX('Work Master'!$I:$I,$H144))</f>
        <v/>
      </c>
      <c r="H144" s="0" t="str">
        <f aca="false">IFERROR(MATCH(143,'Work Master'!$P:$P,0),"")</f>
        <v/>
      </c>
    </row>
    <row r="145" customFormat="false" ht="15" hidden="false" customHeight="false" outlineLevel="0" collapsed="false">
      <c r="A145" s="10" t="str">
        <f aca="false">IF($H145="","",INDEX('Work Master'!$A:$A,$H145))</f>
        <v/>
      </c>
      <c r="B145" s="10" t="str">
        <f aca="false">IF($H145="","",INDEX('Work Master'!$C:$C,$H145))</f>
        <v/>
      </c>
      <c r="C145" s="10" t="str">
        <f aca="false">IF($H145="","",INDEX('Work Master'!$D:$D,$H145))</f>
        <v/>
      </c>
      <c r="D145" s="10" t="str">
        <f aca="false">IF($H145="","",INDEX('Work Master'!$F:$F,$H145))</f>
        <v/>
      </c>
      <c r="E145" s="15" t="str">
        <f aca="false">IF($H145="","",INDEX('Work Master'!$G:$G,$H145))</f>
        <v/>
      </c>
      <c r="F145" s="10" t="str">
        <f aca="false">IF($H145="","",INDEX('Work Master'!$I:$I,$H145))</f>
        <v/>
      </c>
      <c r="H145" s="0" t="str">
        <f aca="false">IFERROR(MATCH(144,'Work Master'!$P:$P,0),"")</f>
        <v/>
      </c>
    </row>
    <row r="146" customFormat="false" ht="15" hidden="false" customHeight="false" outlineLevel="0" collapsed="false">
      <c r="A146" s="10" t="str">
        <f aca="false">IF($H146="","",INDEX('Work Master'!$A:$A,$H146))</f>
        <v/>
      </c>
      <c r="B146" s="10" t="str">
        <f aca="false">IF($H146="","",INDEX('Work Master'!$C:$C,$H146))</f>
        <v/>
      </c>
      <c r="C146" s="10" t="str">
        <f aca="false">IF($H146="","",INDEX('Work Master'!$D:$D,$H146))</f>
        <v/>
      </c>
      <c r="D146" s="10" t="str">
        <f aca="false">IF($H146="","",INDEX('Work Master'!$F:$F,$H146))</f>
        <v/>
      </c>
      <c r="E146" s="15" t="str">
        <f aca="false">IF($H146="","",INDEX('Work Master'!$G:$G,$H146))</f>
        <v/>
      </c>
      <c r="F146" s="10" t="str">
        <f aca="false">IF($H146="","",INDEX('Work Master'!$I:$I,$H146))</f>
        <v/>
      </c>
      <c r="H146" s="0" t="str">
        <f aca="false">IFERROR(MATCH(145,'Work Master'!$P:$P,0),"")</f>
        <v/>
      </c>
    </row>
    <row r="147" customFormat="false" ht="15" hidden="false" customHeight="false" outlineLevel="0" collapsed="false">
      <c r="A147" s="10" t="str">
        <f aca="false">IF($H147="","",INDEX('Work Master'!$A:$A,$H147))</f>
        <v/>
      </c>
      <c r="B147" s="10" t="str">
        <f aca="false">IF($H147="","",INDEX('Work Master'!$C:$C,$H147))</f>
        <v/>
      </c>
      <c r="C147" s="10" t="str">
        <f aca="false">IF($H147="","",INDEX('Work Master'!$D:$D,$H147))</f>
        <v/>
      </c>
      <c r="D147" s="10" t="str">
        <f aca="false">IF($H147="","",INDEX('Work Master'!$F:$F,$H147))</f>
        <v/>
      </c>
      <c r="E147" s="15" t="str">
        <f aca="false">IF($H147="","",INDEX('Work Master'!$G:$G,$H147))</f>
        <v/>
      </c>
      <c r="F147" s="10" t="str">
        <f aca="false">IF($H147="","",INDEX('Work Master'!$I:$I,$H147))</f>
        <v/>
      </c>
      <c r="H147" s="0" t="str">
        <f aca="false">IFERROR(MATCH(146,'Work Master'!$P:$P,0),"")</f>
        <v/>
      </c>
    </row>
    <row r="148" customFormat="false" ht="15" hidden="false" customHeight="false" outlineLevel="0" collapsed="false">
      <c r="A148" s="10" t="str">
        <f aca="false">IF($H148="","",INDEX('Work Master'!$A:$A,$H148))</f>
        <v/>
      </c>
      <c r="B148" s="10" t="str">
        <f aca="false">IF($H148="","",INDEX('Work Master'!$C:$C,$H148))</f>
        <v/>
      </c>
      <c r="C148" s="10" t="str">
        <f aca="false">IF($H148="","",INDEX('Work Master'!$D:$D,$H148))</f>
        <v/>
      </c>
      <c r="D148" s="10" t="str">
        <f aca="false">IF($H148="","",INDEX('Work Master'!$F:$F,$H148))</f>
        <v/>
      </c>
      <c r="E148" s="15" t="str">
        <f aca="false">IF($H148="","",INDEX('Work Master'!$G:$G,$H148))</f>
        <v/>
      </c>
      <c r="F148" s="10" t="str">
        <f aca="false">IF($H148="","",INDEX('Work Master'!$I:$I,$H148))</f>
        <v/>
      </c>
      <c r="H148" s="0" t="str">
        <f aca="false">IFERROR(MATCH(147,'Work Master'!$P:$P,0),"")</f>
        <v/>
      </c>
    </row>
    <row r="149" customFormat="false" ht="15" hidden="false" customHeight="false" outlineLevel="0" collapsed="false">
      <c r="A149" s="10" t="str">
        <f aca="false">IF($H149="","",INDEX('Work Master'!$A:$A,$H149))</f>
        <v/>
      </c>
      <c r="B149" s="10" t="str">
        <f aca="false">IF($H149="","",INDEX('Work Master'!$C:$C,$H149))</f>
        <v/>
      </c>
      <c r="C149" s="10" t="str">
        <f aca="false">IF($H149="","",INDEX('Work Master'!$D:$D,$H149))</f>
        <v/>
      </c>
      <c r="D149" s="10" t="str">
        <f aca="false">IF($H149="","",INDEX('Work Master'!$F:$F,$H149))</f>
        <v/>
      </c>
      <c r="E149" s="15" t="str">
        <f aca="false">IF($H149="","",INDEX('Work Master'!$G:$G,$H149))</f>
        <v/>
      </c>
      <c r="F149" s="10" t="str">
        <f aca="false">IF($H149="","",INDEX('Work Master'!$I:$I,$H149))</f>
        <v/>
      </c>
      <c r="H149" s="0" t="str">
        <f aca="false">IFERROR(MATCH(148,'Work Master'!$P:$P,0),"")</f>
        <v/>
      </c>
    </row>
    <row r="150" customFormat="false" ht="15" hidden="false" customHeight="false" outlineLevel="0" collapsed="false">
      <c r="A150" s="10" t="str">
        <f aca="false">IF($H150="","",INDEX('Work Master'!$A:$A,$H150))</f>
        <v/>
      </c>
      <c r="B150" s="10" t="str">
        <f aca="false">IF($H150="","",INDEX('Work Master'!$C:$C,$H150))</f>
        <v/>
      </c>
      <c r="C150" s="10" t="str">
        <f aca="false">IF($H150="","",INDEX('Work Master'!$D:$D,$H150))</f>
        <v/>
      </c>
      <c r="D150" s="10" t="str">
        <f aca="false">IF($H150="","",INDEX('Work Master'!$F:$F,$H150))</f>
        <v/>
      </c>
      <c r="E150" s="15" t="str">
        <f aca="false">IF($H150="","",INDEX('Work Master'!$G:$G,$H150))</f>
        <v/>
      </c>
      <c r="F150" s="10" t="str">
        <f aca="false">IF($H150="","",INDEX('Work Master'!$I:$I,$H150))</f>
        <v/>
      </c>
      <c r="H150" s="0" t="str">
        <f aca="false">IFERROR(MATCH(149,'Work Master'!$P:$P,0),"")</f>
        <v/>
      </c>
    </row>
    <row r="151" customFormat="false" ht="15" hidden="false" customHeight="false" outlineLevel="0" collapsed="false">
      <c r="A151" s="10" t="str">
        <f aca="false">IF($H151="","",INDEX('Work Master'!$A:$A,$H151))</f>
        <v/>
      </c>
      <c r="B151" s="10" t="str">
        <f aca="false">IF($H151="","",INDEX('Work Master'!$C:$C,$H151))</f>
        <v/>
      </c>
      <c r="C151" s="10" t="str">
        <f aca="false">IF($H151="","",INDEX('Work Master'!$D:$D,$H151))</f>
        <v/>
      </c>
      <c r="D151" s="10" t="str">
        <f aca="false">IF($H151="","",INDEX('Work Master'!$F:$F,$H151))</f>
        <v/>
      </c>
      <c r="E151" s="15" t="str">
        <f aca="false">IF($H151="","",INDEX('Work Master'!$G:$G,$H151))</f>
        <v/>
      </c>
      <c r="F151" s="10" t="str">
        <f aca="false">IF($H151="","",INDEX('Work Master'!$I:$I,$H151))</f>
        <v/>
      </c>
      <c r="H151" s="0" t="str">
        <f aca="false">IFERROR(MATCH(150,'Work Master'!$P:$P,0),"")</f>
        <v/>
      </c>
    </row>
    <row r="152" customFormat="false" ht="15" hidden="false" customHeight="false" outlineLevel="0" collapsed="false">
      <c r="A152" s="10" t="str">
        <f aca="false">IF($H152="","",INDEX('Work Master'!$A:$A,$H152))</f>
        <v/>
      </c>
      <c r="B152" s="10" t="str">
        <f aca="false">IF($H152="","",INDEX('Work Master'!$C:$C,$H152))</f>
        <v/>
      </c>
      <c r="C152" s="10" t="str">
        <f aca="false">IF($H152="","",INDEX('Work Master'!$D:$D,$H152))</f>
        <v/>
      </c>
      <c r="D152" s="10" t="str">
        <f aca="false">IF($H152="","",INDEX('Work Master'!$F:$F,$H152))</f>
        <v/>
      </c>
      <c r="E152" s="15" t="str">
        <f aca="false">IF($H152="","",INDEX('Work Master'!$G:$G,$H152))</f>
        <v/>
      </c>
      <c r="F152" s="10" t="str">
        <f aca="false">IF($H152="","",INDEX('Work Master'!$I:$I,$H152))</f>
        <v/>
      </c>
      <c r="H152" s="0" t="str">
        <f aca="false">IFERROR(MATCH(151,'Work Master'!$P:$P,0),"")</f>
        <v/>
      </c>
    </row>
    <row r="153" customFormat="false" ht="15" hidden="false" customHeight="false" outlineLevel="0" collapsed="false">
      <c r="A153" s="10" t="str">
        <f aca="false">IF($H153="","",INDEX('Work Master'!$A:$A,$H153))</f>
        <v/>
      </c>
      <c r="B153" s="10" t="str">
        <f aca="false">IF($H153="","",INDEX('Work Master'!$C:$C,$H153))</f>
        <v/>
      </c>
      <c r="C153" s="10" t="str">
        <f aca="false">IF($H153="","",INDEX('Work Master'!$D:$D,$H153))</f>
        <v/>
      </c>
      <c r="D153" s="10" t="str">
        <f aca="false">IF($H153="","",INDEX('Work Master'!$F:$F,$H153))</f>
        <v/>
      </c>
      <c r="E153" s="15" t="str">
        <f aca="false">IF($H153="","",INDEX('Work Master'!$G:$G,$H153))</f>
        <v/>
      </c>
      <c r="F153" s="10" t="str">
        <f aca="false">IF($H153="","",INDEX('Work Master'!$I:$I,$H153))</f>
        <v/>
      </c>
      <c r="H153" s="0" t="str">
        <f aca="false">IFERROR(MATCH(152,'Work Master'!$P:$P,0),"")</f>
        <v/>
      </c>
    </row>
    <row r="154" customFormat="false" ht="15" hidden="false" customHeight="false" outlineLevel="0" collapsed="false">
      <c r="A154" s="10" t="str">
        <f aca="false">IF($H154="","",INDEX('Work Master'!$A:$A,$H154))</f>
        <v/>
      </c>
      <c r="B154" s="10" t="str">
        <f aca="false">IF($H154="","",INDEX('Work Master'!$C:$C,$H154))</f>
        <v/>
      </c>
      <c r="C154" s="10" t="str">
        <f aca="false">IF($H154="","",INDEX('Work Master'!$D:$D,$H154))</f>
        <v/>
      </c>
      <c r="D154" s="10" t="str">
        <f aca="false">IF($H154="","",INDEX('Work Master'!$F:$F,$H154))</f>
        <v/>
      </c>
      <c r="E154" s="15" t="str">
        <f aca="false">IF($H154="","",INDEX('Work Master'!$G:$G,$H154))</f>
        <v/>
      </c>
      <c r="F154" s="10" t="str">
        <f aca="false">IF($H154="","",INDEX('Work Master'!$I:$I,$H154))</f>
        <v/>
      </c>
      <c r="H154" s="0" t="str">
        <f aca="false">IFERROR(MATCH(153,'Work Master'!$P:$P,0),"")</f>
        <v/>
      </c>
    </row>
    <row r="155" customFormat="false" ht="15" hidden="false" customHeight="false" outlineLevel="0" collapsed="false">
      <c r="A155" s="10" t="str">
        <f aca="false">IF($H155="","",INDEX('Work Master'!$A:$A,$H155))</f>
        <v/>
      </c>
      <c r="B155" s="10" t="str">
        <f aca="false">IF($H155="","",INDEX('Work Master'!$C:$C,$H155))</f>
        <v/>
      </c>
      <c r="C155" s="10" t="str">
        <f aca="false">IF($H155="","",INDEX('Work Master'!$D:$D,$H155))</f>
        <v/>
      </c>
      <c r="D155" s="10" t="str">
        <f aca="false">IF($H155="","",INDEX('Work Master'!$F:$F,$H155))</f>
        <v/>
      </c>
      <c r="E155" s="15" t="str">
        <f aca="false">IF($H155="","",INDEX('Work Master'!$G:$G,$H155))</f>
        <v/>
      </c>
      <c r="F155" s="10" t="str">
        <f aca="false">IF($H155="","",INDEX('Work Master'!$I:$I,$H155))</f>
        <v/>
      </c>
      <c r="H155" s="0" t="str">
        <f aca="false">IFERROR(MATCH(154,'Work Master'!$P:$P,0),"")</f>
        <v/>
      </c>
    </row>
    <row r="156" customFormat="false" ht="15" hidden="false" customHeight="false" outlineLevel="0" collapsed="false">
      <c r="A156" s="10" t="str">
        <f aca="false">IF($H156="","",INDEX('Work Master'!$A:$A,$H156))</f>
        <v/>
      </c>
      <c r="B156" s="10" t="str">
        <f aca="false">IF($H156="","",INDEX('Work Master'!$C:$C,$H156))</f>
        <v/>
      </c>
      <c r="C156" s="10" t="str">
        <f aca="false">IF($H156="","",INDEX('Work Master'!$D:$D,$H156))</f>
        <v/>
      </c>
      <c r="D156" s="10" t="str">
        <f aca="false">IF($H156="","",INDEX('Work Master'!$F:$F,$H156))</f>
        <v/>
      </c>
      <c r="E156" s="15" t="str">
        <f aca="false">IF($H156="","",INDEX('Work Master'!$G:$G,$H156))</f>
        <v/>
      </c>
      <c r="F156" s="10" t="str">
        <f aca="false">IF($H156="","",INDEX('Work Master'!$I:$I,$H156))</f>
        <v/>
      </c>
      <c r="H156" s="0" t="str">
        <f aca="false">IFERROR(MATCH(155,'Work Master'!$P:$P,0),"")</f>
        <v/>
      </c>
    </row>
    <row r="157" customFormat="false" ht="15" hidden="false" customHeight="false" outlineLevel="0" collapsed="false">
      <c r="A157" s="10" t="str">
        <f aca="false">IF($H157="","",INDEX('Work Master'!$A:$A,$H157))</f>
        <v/>
      </c>
      <c r="B157" s="10" t="str">
        <f aca="false">IF($H157="","",INDEX('Work Master'!$C:$C,$H157))</f>
        <v/>
      </c>
      <c r="C157" s="10" t="str">
        <f aca="false">IF($H157="","",INDEX('Work Master'!$D:$D,$H157))</f>
        <v/>
      </c>
      <c r="D157" s="10" t="str">
        <f aca="false">IF($H157="","",INDEX('Work Master'!$F:$F,$H157))</f>
        <v/>
      </c>
      <c r="E157" s="15" t="str">
        <f aca="false">IF($H157="","",INDEX('Work Master'!$G:$G,$H157))</f>
        <v/>
      </c>
      <c r="F157" s="10" t="str">
        <f aca="false">IF($H157="","",INDEX('Work Master'!$I:$I,$H157))</f>
        <v/>
      </c>
      <c r="H157" s="0" t="str">
        <f aca="false">IFERROR(MATCH(156,'Work Master'!$P:$P,0),"")</f>
        <v/>
      </c>
    </row>
    <row r="158" customFormat="false" ht="15" hidden="false" customHeight="false" outlineLevel="0" collapsed="false">
      <c r="A158" s="10" t="str">
        <f aca="false">IF($H158="","",INDEX('Work Master'!$A:$A,$H158))</f>
        <v/>
      </c>
      <c r="B158" s="10" t="str">
        <f aca="false">IF($H158="","",INDEX('Work Master'!$C:$C,$H158))</f>
        <v/>
      </c>
      <c r="C158" s="10" t="str">
        <f aca="false">IF($H158="","",INDEX('Work Master'!$D:$D,$H158))</f>
        <v/>
      </c>
      <c r="D158" s="10" t="str">
        <f aca="false">IF($H158="","",INDEX('Work Master'!$F:$F,$H158))</f>
        <v/>
      </c>
      <c r="E158" s="15" t="str">
        <f aca="false">IF($H158="","",INDEX('Work Master'!$G:$G,$H158))</f>
        <v/>
      </c>
      <c r="F158" s="10" t="str">
        <f aca="false">IF($H158="","",INDEX('Work Master'!$I:$I,$H158))</f>
        <v/>
      </c>
      <c r="H158" s="0" t="str">
        <f aca="false">IFERROR(MATCH(157,'Work Master'!$P:$P,0),"")</f>
        <v/>
      </c>
    </row>
    <row r="159" customFormat="false" ht="15" hidden="false" customHeight="false" outlineLevel="0" collapsed="false">
      <c r="A159" s="10" t="str">
        <f aca="false">IF($H159="","",INDEX('Work Master'!$A:$A,$H159))</f>
        <v/>
      </c>
      <c r="B159" s="10" t="str">
        <f aca="false">IF($H159="","",INDEX('Work Master'!$C:$C,$H159))</f>
        <v/>
      </c>
      <c r="C159" s="10" t="str">
        <f aca="false">IF($H159="","",INDEX('Work Master'!$D:$D,$H159))</f>
        <v/>
      </c>
      <c r="D159" s="10" t="str">
        <f aca="false">IF($H159="","",INDEX('Work Master'!$F:$F,$H159))</f>
        <v/>
      </c>
      <c r="E159" s="15" t="str">
        <f aca="false">IF($H159="","",INDEX('Work Master'!$G:$G,$H159))</f>
        <v/>
      </c>
      <c r="F159" s="10" t="str">
        <f aca="false">IF($H159="","",INDEX('Work Master'!$I:$I,$H159))</f>
        <v/>
      </c>
      <c r="H159" s="0" t="str">
        <f aca="false">IFERROR(MATCH(158,'Work Master'!$P:$P,0),"")</f>
        <v/>
      </c>
    </row>
    <row r="160" customFormat="false" ht="15" hidden="false" customHeight="false" outlineLevel="0" collapsed="false">
      <c r="A160" s="10" t="str">
        <f aca="false">IF($H160="","",INDEX('Work Master'!$A:$A,$H160))</f>
        <v/>
      </c>
      <c r="B160" s="10" t="str">
        <f aca="false">IF($H160="","",INDEX('Work Master'!$C:$C,$H160))</f>
        <v/>
      </c>
      <c r="C160" s="10" t="str">
        <f aca="false">IF($H160="","",INDEX('Work Master'!$D:$D,$H160))</f>
        <v/>
      </c>
      <c r="D160" s="10" t="str">
        <f aca="false">IF($H160="","",INDEX('Work Master'!$F:$F,$H160))</f>
        <v/>
      </c>
      <c r="E160" s="15" t="str">
        <f aca="false">IF($H160="","",INDEX('Work Master'!$G:$G,$H160))</f>
        <v/>
      </c>
      <c r="F160" s="10" t="str">
        <f aca="false">IF($H160="","",INDEX('Work Master'!$I:$I,$H160))</f>
        <v/>
      </c>
      <c r="H160" s="0" t="str">
        <f aca="false">IFERROR(MATCH(159,'Work Master'!$P:$P,0),"")</f>
        <v/>
      </c>
    </row>
    <row r="161" customFormat="false" ht="15" hidden="false" customHeight="false" outlineLevel="0" collapsed="false">
      <c r="A161" s="10" t="str">
        <f aca="false">IF($H161="","",INDEX('Work Master'!$A:$A,$H161))</f>
        <v/>
      </c>
      <c r="B161" s="10" t="str">
        <f aca="false">IF($H161="","",INDEX('Work Master'!$C:$C,$H161))</f>
        <v/>
      </c>
      <c r="C161" s="10" t="str">
        <f aca="false">IF($H161="","",INDEX('Work Master'!$D:$D,$H161))</f>
        <v/>
      </c>
      <c r="D161" s="10" t="str">
        <f aca="false">IF($H161="","",INDEX('Work Master'!$F:$F,$H161))</f>
        <v/>
      </c>
      <c r="E161" s="15" t="str">
        <f aca="false">IF($H161="","",INDEX('Work Master'!$G:$G,$H161))</f>
        <v/>
      </c>
      <c r="F161" s="10" t="str">
        <f aca="false">IF($H161="","",INDEX('Work Master'!$I:$I,$H161))</f>
        <v/>
      </c>
      <c r="H161" s="0" t="str">
        <f aca="false">IFERROR(MATCH(160,'Work Master'!$P:$P,0),"")</f>
        <v/>
      </c>
    </row>
    <row r="162" customFormat="false" ht="15" hidden="false" customHeight="false" outlineLevel="0" collapsed="false">
      <c r="A162" s="10" t="str">
        <f aca="false">IF($H162="","",INDEX('Work Master'!$A:$A,$H162))</f>
        <v/>
      </c>
      <c r="B162" s="10" t="str">
        <f aca="false">IF($H162="","",INDEX('Work Master'!$C:$C,$H162))</f>
        <v/>
      </c>
      <c r="C162" s="10" t="str">
        <f aca="false">IF($H162="","",INDEX('Work Master'!$D:$D,$H162))</f>
        <v/>
      </c>
      <c r="D162" s="10" t="str">
        <f aca="false">IF($H162="","",INDEX('Work Master'!$F:$F,$H162))</f>
        <v/>
      </c>
      <c r="E162" s="15" t="str">
        <f aca="false">IF($H162="","",INDEX('Work Master'!$G:$G,$H162))</f>
        <v/>
      </c>
      <c r="F162" s="10" t="str">
        <f aca="false">IF($H162="","",INDEX('Work Master'!$I:$I,$H162))</f>
        <v/>
      </c>
      <c r="H162" s="0" t="str">
        <f aca="false">IFERROR(MATCH(161,'Work Master'!$P:$P,0),"")</f>
        <v/>
      </c>
    </row>
    <row r="163" customFormat="false" ht="15" hidden="false" customHeight="false" outlineLevel="0" collapsed="false">
      <c r="A163" s="10" t="str">
        <f aca="false">IF($H163="","",INDEX('Work Master'!$A:$A,$H163))</f>
        <v/>
      </c>
      <c r="B163" s="10" t="str">
        <f aca="false">IF($H163="","",INDEX('Work Master'!$C:$C,$H163))</f>
        <v/>
      </c>
      <c r="C163" s="10" t="str">
        <f aca="false">IF($H163="","",INDEX('Work Master'!$D:$D,$H163))</f>
        <v/>
      </c>
      <c r="D163" s="10" t="str">
        <f aca="false">IF($H163="","",INDEX('Work Master'!$F:$F,$H163))</f>
        <v/>
      </c>
      <c r="E163" s="15" t="str">
        <f aca="false">IF($H163="","",INDEX('Work Master'!$G:$G,$H163))</f>
        <v/>
      </c>
      <c r="F163" s="10" t="str">
        <f aca="false">IF($H163="","",INDEX('Work Master'!$I:$I,$H163))</f>
        <v/>
      </c>
      <c r="H163" s="0" t="str">
        <f aca="false">IFERROR(MATCH(162,'Work Master'!$P:$P,0),"")</f>
        <v/>
      </c>
    </row>
    <row r="164" customFormat="false" ht="15" hidden="false" customHeight="false" outlineLevel="0" collapsed="false">
      <c r="A164" s="10" t="str">
        <f aca="false">IF($H164="","",INDEX('Work Master'!$A:$A,$H164))</f>
        <v/>
      </c>
      <c r="B164" s="10" t="str">
        <f aca="false">IF($H164="","",INDEX('Work Master'!$C:$C,$H164))</f>
        <v/>
      </c>
      <c r="C164" s="10" t="str">
        <f aca="false">IF($H164="","",INDEX('Work Master'!$D:$D,$H164))</f>
        <v/>
      </c>
      <c r="D164" s="10" t="str">
        <f aca="false">IF($H164="","",INDEX('Work Master'!$F:$F,$H164))</f>
        <v/>
      </c>
      <c r="E164" s="15" t="str">
        <f aca="false">IF($H164="","",INDEX('Work Master'!$G:$G,$H164))</f>
        <v/>
      </c>
      <c r="F164" s="10" t="str">
        <f aca="false">IF($H164="","",INDEX('Work Master'!$I:$I,$H164))</f>
        <v/>
      </c>
      <c r="H164" s="0" t="str">
        <f aca="false">IFERROR(MATCH(163,'Work Master'!$P:$P,0),"")</f>
        <v/>
      </c>
    </row>
    <row r="165" customFormat="false" ht="15" hidden="false" customHeight="false" outlineLevel="0" collapsed="false">
      <c r="A165" s="10" t="str">
        <f aca="false">IF($H165="","",INDEX('Work Master'!$A:$A,$H165))</f>
        <v/>
      </c>
      <c r="B165" s="10" t="str">
        <f aca="false">IF($H165="","",INDEX('Work Master'!$C:$C,$H165))</f>
        <v/>
      </c>
      <c r="C165" s="10" t="str">
        <f aca="false">IF($H165="","",INDEX('Work Master'!$D:$D,$H165))</f>
        <v/>
      </c>
      <c r="D165" s="10" t="str">
        <f aca="false">IF($H165="","",INDEX('Work Master'!$F:$F,$H165))</f>
        <v/>
      </c>
      <c r="E165" s="15" t="str">
        <f aca="false">IF($H165="","",INDEX('Work Master'!$G:$G,$H165))</f>
        <v/>
      </c>
      <c r="F165" s="10" t="str">
        <f aca="false">IF($H165="","",INDEX('Work Master'!$I:$I,$H165))</f>
        <v/>
      </c>
      <c r="H165" s="0" t="str">
        <f aca="false">IFERROR(MATCH(164,'Work Master'!$P:$P,0),"")</f>
        <v/>
      </c>
    </row>
    <row r="166" customFormat="false" ht="15" hidden="false" customHeight="false" outlineLevel="0" collapsed="false">
      <c r="A166" s="10" t="str">
        <f aca="false">IF($H166="","",INDEX('Work Master'!$A:$A,$H166))</f>
        <v/>
      </c>
      <c r="B166" s="10" t="str">
        <f aca="false">IF($H166="","",INDEX('Work Master'!$C:$C,$H166))</f>
        <v/>
      </c>
      <c r="C166" s="10" t="str">
        <f aca="false">IF($H166="","",INDEX('Work Master'!$D:$D,$H166))</f>
        <v/>
      </c>
      <c r="D166" s="10" t="str">
        <f aca="false">IF($H166="","",INDEX('Work Master'!$F:$F,$H166))</f>
        <v/>
      </c>
      <c r="E166" s="15" t="str">
        <f aca="false">IF($H166="","",INDEX('Work Master'!$G:$G,$H166))</f>
        <v/>
      </c>
      <c r="F166" s="10" t="str">
        <f aca="false">IF($H166="","",INDEX('Work Master'!$I:$I,$H166))</f>
        <v/>
      </c>
      <c r="H166" s="0" t="str">
        <f aca="false">IFERROR(MATCH(165,'Work Master'!$P:$P,0),"")</f>
        <v/>
      </c>
    </row>
    <row r="167" customFormat="false" ht="15" hidden="false" customHeight="false" outlineLevel="0" collapsed="false">
      <c r="A167" s="10" t="str">
        <f aca="false">IF($H167="","",INDEX('Work Master'!$A:$A,$H167))</f>
        <v/>
      </c>
      <c r="B167" s="10" t="str">
        <f aca="false">IF($H167="","",INDEX('Work Master'!$C:$C,$H167))</f>
        <v/>
      </c>
      <c r="C167" s="10" t="str">
        <f aca="false">IF($H167="","",INDEX('Work Master'!$D:$D,$H167))</f>
        <v/>
      </c>
      <c r="D167" s="10" t="str">
        <f aca="false">IF($H167="","",INDEX('Work Master'!$F:$F,$H167))</f>
        <v/>
      </c>
      <c r="E167" s="15" t="str">
        <f aca="false">IF($H167="","",INDEX('Work Master'!$G:$G,$H167))</f>
        <v/>
      </c>
      <c r="F167" s="10" t="str">
        <f aca="false">IF($H167="","",INDEX('Work Master'!$I:$I,$H167))</f>
        <v/>
      </c>
      <c r="H167" s="0" t="str">
        <f aca="false">IFERROR(MATCH(166,'Work Master'!$P:$P,0),"")</f>
        <v/>
      </c>
    </row>
    <row r="168" customFormat="false" ht="15" hidden="false" customHeight="false" outlineLevel="0" collapsed="false">
      <c r="A168" s="10" t="str">
        <f aca="false">IF($H168="","",INDEX('Work Master'!$A:$A,$H168))</f>
        <v/>
      </c>
      <c r="B168" s="10" t="str">
        <f aca="false">IF($H168="","",INDEX('Work Master'!$C:$C,$H168))</f>
        <v/>
      </c>
      <c r="C168" s="10" t="str">
        <f aca="false">IF($H168="","",INDEX('Work Master'!$D:$D,$H168))</f>
        <v/>
      </c>
      <c r="D168" s="10" t="str">
        <f aca="false">IF($H168="","",INDEX('Work Master'!$F:$F,$H168))</f>
        <v/>
      </c>
      <c r="E168" s="15" t="str">
        <f aca="false">IF($H168="","",INDEX('Work Master'!$G:$G,$H168))</f>
        <v/>
      </c>
      <c r="F168" s="10" t="str">
        <f aca="false">IF($H168="","",INDEX('Work Master'!$I:$I,$H168))</f>
        <v/>
      </c>
      <c r="H168" s="0" t="str">
        <f aca="false">IFERROR(MATCH(167,'Work Master'!$P:$P,0),"")</f>
        <v/>
      </c>
    </row>
    <row r="169" customFormat="false" ht="15" hidden="false" customHeight="false" outlineLevel="0" collapsed="false">
      <c r="A169" s="10" t="str">
        <f aca="false">IF($H169="","",INDEX('Work Master'!$A:$A,$H169))</f>
        <v/>
      </c>
      <c r="B169" s="10" t="str">
        <f aca="false">IF($H169="","",INDEX('Work Master'!$C:$C,$H169))</f>
        <v/>
      </c>
      <c r="C169" s="10" t="str">
        <f aca="false">IF($H169="","",INDEX('Work Master'!$D:$D,$H169))</f>
        <v/>
      </c>
      <c r="D169" s="10" t="str">
        <f aca="false">IF($H169="","",INDEX('Work Master'!$F:$F,$H169))</f>
        <v/>
      </c>
      <c r="E169" s="15" t="str">
        <f aca="false">IF($H169="","",INDEX('Work Master'!$G:$G,$H169))</f>
        <v/>
      </c>
      <c r="F169" s="10" t="str">
        <f aca="false">IF($H169="","",INDEX('Work Master'!$I:$I,$H169))</f>
        <v/>
      </c>
      <c r="H169" s="0" t="str">
        <f aca="false">IFERROR(MATCH(168,'Work Master'!$P:$P,0),"")</f>
        <v/>
      </c>
    </row>
    <row r="170" customFormat="false" ht="15" hidden="false" customHeight="false" outlineLevel="0" collapsed="false">
      <c r="A170" s="10" t="str">
        <f aca="false">IF($H170="","",INDEX('Work Master'!$A:$A,$H170))</f>
        <v/>
      </c>
      <c r="B170" s="10" t="str">
        <f aca="false">IF($H170="","",INDEX('Work Master'!$C:$C,$H170))</f>
        <v/>
      </c>
      <c r="C170" s="10" t="str">
        <f aca="false">IF($H170="","",INDEX('Work Master'!$D:$D,$H170))</f>
        <v/>
      </c>
      <c r="D170" s="10" t="str">
        <f aca="false">IF($H170="","",INDEX('Work Master'!$F:$F,$H170))</f>
        <v/>
      </c>
      <c r="E170" s="15" t="str">
        <f aca="false">IF($H170="","",INDEX('Work Master'!$G:$G,$H170))</f>
        <v/>
      </c>
      <c r="F170" s="10" t="str">
        <f aca="false">IF($H170="","",INDEX('Work Master'!$I:$I,$H170))</f>
        <v/>
      </c>
      <c r="H170" s="0" t="str">
        <f aca="false">IFERROR(MATCH(169,'Work Master'!$P:$P,0),"")</f>
        <v/>
      </c>
    </row>
    <row r="171" customFormat="false" ht="15" hidden="false" customHeight="false" outlineLevel="0" collapsed="false">
      <c r="A171" s="10" t="str">
        <f aca="false">IF($H171="","",INDEX('Work Master'!$A:$A,$H171))</f>
        <v/>
      </c>
      <c r="B171" s="10" t="str">
        <f aca="false">IF($H171="","",INDEX('Work Master'!$C:$C,$H171))</f>
        <v/>
      </c>
      <c r="C171" s="10" t="str">
        <f aca="false">IF($H171="","",INDEX('Work Master'!$D:$D,$H171))</f>
        <v/>
      </c>
      <c r="D171" s="10" t="str">
        <f aca="false">IF($H171="","",INDEX('Work Master'!$F:$F,$H171))</f>
        <v/>
      </c>
      <c r="E171" s="15" t="str">
        <f aca="false">IF($H171="","",INDEX('Work Master'!$G:$G,$H171))</f>
        <v/>
      </c>
      <c r="F171" s="10" t="str">
        <f aca="false">IF($H171="","",INDEX('Work Master'!$I:$I,$H171))</f>
        <v/>
      </c>
      <c r="H171" s="0" t="str">
        <f aca="false">IFERROR(MATCH(170,'Work Master'!$P:$P,0),"")</f>
        <v/>
      </c>
    </row>
    <row r="172" customFormat="false" ht="15" hidden="false" customHeight="false" outlineLevel="0" collapsed="false">
      <c r="A172" s="10" t="str">
        <f aca="false">IF($H172="","",INDEX('Work Master'!$A:$A,$H172))</f>
        <v/>
      </c>
      <c r="B172" s="10" t="str">
        <f aca="false">IF($H172="","",INDEX('Work Master'!$C:$C,$H172))</f>
        <v/>
      </c>
      <c r="C172" s="10" t="str">
        <f aca="false">IF($H172="","",INDEX('Work Master'!$D:$D,$H172))</f>
        <v/>
      </c>
      <c r="D172" s="10" t="str">
        <f aca="false">IF($H172="","",INDEX('Work Master'!$F:$F,$H172))</f>
        <v/>
      </c>
      <c r="E172" s="15" t="str">
        <f aca="false">IF($H172="","",INDEX('Work Master'!$G:$G,$H172))</f>
        <v/>
      </c>
      <c r="F172" s="10" t="str">
        <f aca="false">IF($H172="","",INDEX('Work Master'!$I:$I,$H172))</f>
        <v/>
      </c>
      <c r="H172" s="0" t="str">
        <f aca="false">IFERROR(MATCH(171,'Work Master'!$P:$P,0),"")</f>
        <v/>
      </c>
    </row>
    <row r="173" customFormat="false" ht="15" hidden="false" customHeight="false" outlineLevel="0" collapsed="false">
      <c r="A173" s="10" t="str">
        <f aca="false">IF($H173="","",INDEX('Work Master'!$A:$A,$H173))</f>
        <v/>
      </c>
      <c r="B173" s="10" t="str">
        <f aca="false">IF($H173="","",INDEX('Work Master'!$C:$C,$H173))</f>
        <v/>
      </c>
      <c r="C173" s="10" t="str">
        <f aca="false">IF($H173="","",INDEX('Work Master'!$D:$D,$H173))</f>
        <v/>
      </c>
      <c r="D173" s="10" t="str">
        <f aca="false">IF($H173="","",INDEX('Work Master'!$F:$F,$H173))</f>
        <v/>
      </c>
      <c r="E173" s="15" t="str">
        <f aca="false">IF($H173="","",INDEX('Work Master'!$G:$G,$H173))</f>
        <v/>
      </c>
      <c r="F173" s="10" t="str">
        <f aca="false">IF($H173="","",INDEX('Work Master'!$I:$I,$H173))</f>
        <v/>
      </c>
      <c r="H173" s="0" t="str">
        <f aca="false">IFERROR(MATCH(172,'Work Master'!$P:$P,0),"")</f>
        <v/>
      </c>
    </row>
    <row r="174" customFormat="false" ht="15" hidden="false" customHeight="false" outlineLevel="0" collapsed="false">
      <c r="A174" s="10" t="str">
        <f aca="false">IF($H174="","",INDEX('Work Master'!$A:$A,$H174))</f>
        <v/>
      </c>
      <c r="B174" s="10" t="str">
        <f aca="false">IF($H174="","",INDEX('Work Master'!$C:$C,$H174))</f>
        <v/>
      </c>
      <c r="C174" s="10" t="str">
        <f aca="false">IF($H174="","",INDEX('Work Master'!$D:$D,$H174))</f>
        <v/>
      </c>
      <c r="D174" s="10" t="str">
        <f aca="false">IF($H174="","",INDEX('Work Master'!$F:$F,$H174))</f>
        <v/>
      </c>
      <c r="E174" s="15" t="str">
        <f aca="false">IF($H174="","",INDEX('Work Master'!$G:$G,$H174))</f>
        <v/>
      </c>
      <c r="F174" s="10" t="str">
        <f aca="false">IF($H174="","",INDEX('Work Master'!$I:$I,$H174))</f>
        <v/>
      </c>
      <c r="H174" s="0" t="str">
        <f aca="false">IFERROR(MATCH(173,'Work Master'!$P:$P,0),"")</f>
        <v/>
      </c>
    </row>
    <row r="175" customFormat="false" ht="15" hidden="false" customHeight="false" outlineLevel="0" collapsed="false">
      <c r="A175" s="10" t="str">
        <f aca="false">IF($H175="","",INDEX('Work Master'!$A:$A,$H175))</f>
        <v/>
      </c>
      <c r="B175" s="10" t="str">
        <f aca="false">IF($H175="","",INDEX('Work Master'!$C:$C,$H175))</f>
        <v/>
      </c>
      <c r="C175" s="10" t="str">
        <f aca="false">IF($H175="","",INDEX('Work Master'!$D:$D,$H175))</f>
        <v/>
      </c>
      <c r="D175" s="10" t="str">
        <f aca="false">IF($H175="","",INDEX('Work Master'!$F:$F,$H175))</f>
        <v/>
      </c>
      <c r="E175" s="15" t="str">
        <f aca="false">IF($H175="","",INDEX('Work Master'!$G:$G,$H175))</f>
        <v/>
      </c>
      <c r="F175" s="10" t="str">
        <f aca="false">IF($H175="","",INDEX('Work Master'!$I:$I,$H175))</f>
        <v/>
      </c>
      <c r="H175" s="0" t="str">
        <f aca="false">IFERROR(MATCH(174,'Work Master'!$P:$P,0),"")</f>
        <v/>
      </c>
    </row>
    <row r="176" customFormat="false" ht="15" hidden="false" customHeight="false" outlineLevel="0" collapsed="false">
      <c r="A176" s="10" t="str">
        <f aca="false">IF($H176="","",INDEX('Work Master'!$A:$A,$H176))</f>
        <v/>
      </c>
      <c r="B176" s="10" t="str">
        <f aca="false">IF($H176="","",INDEX('Work Master'!$C:$C,$H176))</f>
        <v/>
      </c>
      <c r="C176" s="10" t="str">
        <f aca="false">IF($H176="","",INDEX('Work Master'!$D:$D,$H176))</f>
        <v/>
      </c>
      <c r="D176" s="10" t="str">
        <f aca="false">IF($H176="","",INDEX('Work Master'!$F:$F,$H176))</f>
        <v/>
      </c>
      <c r="E176" s="15" t="str">
        <f aca="false">IF($H176="","",INDEX('Work Master'!$G:$G,$H176))</f>
        <v/>
      </c>
      <c r="F176" s="10" t="str">
        <f aca="false">IF($H176="","",INDEX('Work Master'!$I:$I,$H176))</f>
        <v/>
      </c>
      <c r="H176" s="0" t="str">
        <f aca="false">IFERROR(MATCH(175,'Work Master'!$P:$P,0),"")</f>
        <v/>
      </c>
    </row>
    <row r="177" customFormat="false" ht="15" hidden="false" customHeight="false" outlineLevel="0" collapsed="false">
      <c r="A177" s="10" t="str">
        <f aca="false">IF($H177="","",INDEX('Work Master'!$A:$A,$H177))</f>
        <v/>
      </c>
      <c r="B177" s="10" t="str">
        <f aca="false">IF($H177="","",INDEX('Work Master'!$C:$C,$H177))</f>
        <v/>
      </c>
      <c r="C177" s="10" t="str">
        <f aca="false">IF($H177="","",INDEX('Work Master'!$D:$D,$H177))</f>
        <v/>
      </c>
      <c r="D177" s="10" t="str">
        <f aca="false">IF($H177="","",INDEX('Work Master'!$F:$F,$H177))</f>
        <v/>
      </c>
      <c r="E177" s="15" t="str">
        <f aca="false">IF($H177="","",INDEX('Work Master'!$G:$G,$H177))</f>
        <v/>
      </c>
      <c r="F177" s="10" t="str">
        <f aca="false">IF($H177="","",INDEX('Work Master'!$I:$I,$H177))</f>
        <v/>
      </c>
      <c r="H177" s="0" t="str">
        <f aca="false">IFERROR(MATCH(176,'Work Master'!$P:$P,0),"")</f>
        <v/>
      </c>
    </row>
    <row r="178" customFormat="false" ht="15" hidden="false" customHeight="false" outlineLevel="0" collapsed="false">
      <c r="A178" s="10" t="str">
        <f aca="false">IF($H178="","",INDEX('Work Master'!$A:$A,$H178))</f>
        <v/>
      </c>
      <c r="B178" s="10" t="str">
        <f aca="false">IF($H178="","",INDEX('Work Master'!$C:$C,$H178))</f>
        <v/>
      </c>
      <c r="C178" s="10" t="str">
        <f aca="false">IF($H178="","",INDEX('Work Master'!$D:$D,$H178))</f>
        <v/>
      </c>
      <c r="D178" s="10" t="str">
        <f aca="false">IF($H178="","",INDEX('Work Master'!$F:$F,$H178))</f>
        <v/>
      </c>
      <c r="E178" s="15" t="str">
        <f aca="false">IF($H178="","",INDEX('Work Master'!$G:$G,$H178))</f>
        <v/>
      </c>
      <c r="F178" s="10" t="str">
        <f aca="false">IF($H178="","",INDEX('Work Master'!$I:$I,$H178))</f>
        <v/>
      </c>
      <c r="H178" s="0" t="str">
        <f aca="false">IFERROR(MATCH(177,'Work Master'!$P:$P,0),"")</f>
        <v/>
      </c>
    </row>
    <row r="179" customFormat="false" ht="15" hidden="false" customHeight="false" outlineLevel="0" collapsed="false">
      <c r="A179" s="10" t="str">
        <f aca="false">IF($H179="","",INDEX('Work Master'!$A:$A,$H179))</f>
        <v/>
      </c>
      <c r="B179" s="10" t="str">
        <f aca="false">IF($H179="","",INDEX('Work Master'!$C:$C,$H179))</f>
        <v/>
      </c>
      <c r="C179" s="10" t="str">
        <f aca="false">IF($H179="","",INDEX('Work Master'!$D:$D,$H179))</f>
        <v/>
      </c>
      <c r="D179" s="10" t="str">
        <f aca="false">IF($H179="","",INDEX('Work Master'!$F:$F,$H179))</f>
        <v/>
      </c>
      <c r="E179" s="15" t="str">
        <f aca="false">IF($H179="","",INDEX('Work Master'!$G:$G,$H179))</f>
        <v/>
      </c>
      <c r="F179" s="10" t="str">
        <f aca="false">IF($H179="","",INDEX('Work Master'!$I:$I,$H179))</f>
        <v/>
      </c>
      <c r="H179" s="0" t="str">
        <f aca="false">IFERROR(MATCH(178,'Work Master'!$P:$P,0),"")</f>
        <v/>
      </c>
    </row>
    <row r="180" customFormat="false" ht="15" hidden="false" customHeight="false" outlineLevel="0" collapsed="false">
      <c r="A180" s="10" t="str">
        <f aca="false">IF($H180="","",INDEX('Work Master'!$A:$A,$H180))</f>
        <v/>
      </c>
      <c r="B180" s="10" t="str">
        <f aca="false">IF($H180="","",INDEX('Work Master'!$C:$C,$H180))</f>
        <v/>
      </c>
      <c r="C180" s="10" t="str">
        <f aca="false">IF($H180="","",INDEX('Work Master'!$D:$D,$H180))</f>
        <v/>
      </c>
      <c r="D180" s="10" t="str">
        <f aca="false">IF($H180="","",INDEX('Work Master'!$F:$F,$H180))</f>
        <v/>
      </c>
      <c r="E180" s="15" t="str">
        <f aca="false">IF($H180="","",INDEX('Work Master'!$G:$G,$H180))</f>
        <v/>
      </c>
      <c r="F180" s="10" t="str">
        <f aca="false">IF($H180="","",INDEX('Work Master'!$I:$I,$H180))</f>
        <v/>
      </c>
      <c r="H180" s="0" t="str">
        <f aca="false">IFERROR(MATCH(179,'Work Master'!$P:$P,0),"")</f>
        <v/>
      </c>
    </row>
    <row r="181" customFormat="false" ht="15" hidden="false" customHeight="false" outlineLevel="0" collapsed="false">
      <c r="A181" s="10" t="str">
        <f aca="false">IF($H181="","",INDEX('Work Master'!$A:$A,$H181))</f>
        <v/>
      </c>
      <c r="B181" s="10" t="str">
        <f aca="false">IF($H181="","",INDEX('Work Master'!$C:$C,$H181))</f>
        <v/>
      </c>
      <c r="C181" s="10" t="str">
        <f aca="false">IF($H181="","",INDEX('Work Master'!$D:$D,$H181))</f>
        <v/>
      </c>
      <c r="D181" s="10" t="str">
        <f aca="false">IF($H181="","",INDEX('Work Master'!$F:$F,$H181))</f>
        <v/>
      </c>
      <c r="E181" s="15" t="str">
        <f aca="false">IF($H181="","",INDEX('Work Master'!$G:$G,$H181))</f>
        <v/>
      </c>
      <c r="F181" s="10" t="str">
        <f aca="false">IF($H181="","",INDEX('Work Master'!$I:$I,$H181))</f>
        <v/>
      </c>
      <c r="H181" s="0" t="str">
        <f aca="false">IFERROR(MATCH(180,'Work Master'!$P:$P,0),"")</f>
        <v/>
      </c>
    </row>
    <row r="182" customFormat="false" ht="15" hidden="false" customHeight="false" outlineLevel="0" collapsed="false">
      <c r="A182" s="10" t="str">
        <f aca="false">IF($H182="","",INDEX('Work Master'!$A:$A,$H182))</f>
        <v/>
      </c>
      <c r="B182" s="10" t="str">
        <f aca="false">IF($H182="","",INDEX('Work Master'!$C:$C,$H182))</f>
        <v/>
      </c>
      <c r="C182" s="10" t="str">
        <f aca="false">IF($H182="","",INDEX('Work Master'!$D:$D,$H182))</f>
        <v/>
      </c>
      <c r="D182" s="10" t="str">
        <f aca="false">IF($H182="","",INDEX('Work Master'!$F:$F,$H182))</f>
        <v/>
      </c>
      <c r="E182" s="15" t="str">
        <f aca="false">IF($H182="","",INDEX('Work Master'!$G:$G,$H182))</f>
        <v/>
      </c>
      <c r="F182" s="10" t="str">
        <f aca="false">IF($H182="","",INDEX('Work Master'!$I:$I,$H182))</f>
        <v/>
      </c>
      <c r="H182" s="0" t="str">
        <f aca="false">IFERROR(MATCH(181,'Work Master'!$P:$P,0),"")</f>
        <v/>
      </c>
    </row>
    <row r="183" customFormat="false" ht="15" hidden="false" customHeight="false" outlineLevel="0" collapsed="false">
      <c r="A183" s="10" t="str">
        <f aca="false">IF($H183="","",INDEX('Work Master'!$A:$A,$H183))</f>
        <v/>
      </c>
      <c r="B183" s="10" t="str">
        <f aca="false">IF($H183="","",INDEX('Work Master'!$C:$C,$H183))</f>
        <v/>
      </c>
      <c r="C183" s="10" t="str">
        <f aca="false">IF($H183="","",INDEX('Work Master'!$D:$D,$H183))</f>
        <v/>
      </c>
      <c r="D183" s="10" t="str">
        <f aca="false">IF($H183="","",INDEX('Work Master'!$F:$F,$H183))</f>
        <v/>
      </c>
      <c r="E183" s="15" t="str">
        <f aca="false">IF($H183="","",INDEX('Work Master'!$G:$G,$H183))</f>
        <v/>
      </c>
      <c r="F183" s="10" t="str">
        <f aca="false">IF($H183="","",INDEX('Work Master'!$I:$I,$H183))</f>
        <v/>
      </c>
      <c r="H183" s="0" t="str">
        <f aca="false">IFERROR(MATCH(182,'Work Master'!$P:$P,0),"")</f>
        <v/>
      </c>
    </row>
    <row r="184" customFormat="false" ht="15" hidden="false" customHeight="false" outlineLevel="0" collapsed="false">
      <c r="A184" s="10" t="str">
        <f aca="false">IF($H184="","",INDEX('Work Master'!$A:$A,$H184))</f>
        <v/>
      </c>
      <c r="B184" s="10" t="str">
        <f aca="false">IF($H184="","",INDEX('Work Master'!$C:$C,$H184))</f>
        <v/>
      </c>
      <c r="C184" s="10" t="str">
        <f aca="false">IF($H184="","",INDEX('Work Master'!$D:$D,$H184))</f>
        <v/>
      </c>
      <c r="D184" s="10" t="str">
        <f aca="false">IF($H184="","",INDEX('Work Master'!$F:$F,$H184))</f>
        <v/>
      </c>
      <c r="E184" s="15" t="str">
        <f aca="false">IF($H184="","",INDEX('Work Master'!$G:$G,$H184))</f>
        <v/>
      </c>
      <c r="F184" s="10" t="str">
        <f aca="false">IF($H184="","",INDEX('Work Master'!$I:$I,$H184))</f>
        <v/>
      </c>
      <c r="H184" s="0" t="str">
        <f aca="false">IFERROR(MATCH(183,'Work Master'!$P:$P,0),"")</f>
        <v/>
      </c>
    </row>
    <row r="185" customFormat="false" ht="15" hidden="false" customHeight="false" outlineLevel="0" collapsed="false">
      <c r="A185" s="10" t="str">
        <f aca="false">IF($H185="","",INDEX('Work Master'!$A:$A,$H185))</f>
        <v/>
      </c>
      <c r="B185" s="10" t="str">
        <f aca="false">IF($H185="","",INDEX('Work Master'!$C:$C,$H185))</f>
        <v/>
      </c>
      <c r="C185" s="10" t="str">
        <f aca="false">IF($H185="","",INDEX('Work Master'!$D:$D,$H185))</f>
        <v/>
      </c>
      <c r="D185" s="10" t="str">
        <f aca="false">IF($H185="","",INDEX('Work Master'!$F:$F,$H185))</f>
        <v/>
      </c>
      <c r="E185" s="15" t="str">
        <f aca="false">IF($H185="","",INDEX('Work Master'!$G:$G,$H185))</f>
        <v/>
      </c>
      <c r="F185" s="10" t="str">
        <f aca="false">IF($H185="","",INDEX('Work Master'!$I:$I,$H185))</f>
        <v/>
      </c>
      <c r="H185" s="0" t="str">
        <f aca="false">IFERROR(MATCH(184,'Work Master'!$P:$P,0),"")</f>
        <v/>
      </c>
    </row>
    <row r="186" customFormat="false" ht="15" hidden="false" customHeight="false" outlineLevel="0" collapsed="false">
      <c r="A186" s="10" t="str">
        <f aca="false">IF($H186="","",INDEX('Work Master'!$A:$A,$H186))</f>
        <v/>
      </c>
      <c r="B186" s="10" t="str">
        <f aca="false">IF($H186="","",INDEX('Work Master'!$C:$C,$H186))</f>
        <v/>
      </c>
      <c r="C186" s="10" t="str">
        <f aca="false">IF($H186="","",INDEX('Work Master'!$D:$D,$H186))</f>
        <v/>
      </c>
      <c r="D186" s="10" t="str">
        <f aca="false">IF($H186="","",INDEX('Work Master'!$F:$F,$H186))</f>
        <v/>
      </c>
      <c r="E186" s="15" t="str">
        <f aca="false">IF($H186="","",INDEX('Work Master'!$G:$G,$H186))</f>
        <v/>
      </c>
      <c r="F186" s="10" t="str">
        <f aca="false">IF($H186="","",INDEX('Work Master'!$I:$I,$H186))</f>
        <v/>
      </c>
      <c r="H186" s="0" t="str">
        <f aca="false">IFERROR(MATCH(185,'Work Master'!$P:$P,0),"")</f>
        <v/>
      </c>
    </row>
    <row r="187" customFormat="false" ht="15" hidden="false" customHeight="false" outlineLevel="0" collapsed="false">
      <c r="A187" s="10" t="str">
        <f aca="false">IF($H187="","",INDEX('Work Master'!$A:$A,$H187))</f>
        <v/>
      </c>
      <c r="B187" s="10" t="str">
        <f aca="false">IF($H187="","",INDEX('Work Master'!$C:$C,$H187))</f>
        <v/>
      </c>
      <c r="C187" s="10" t="str">
        <f aca="false">IF($H187="","",INDEX('Work Master'!$D:$D,$H187))</f>
        <v/>
      </c>
      <c r="D187" s="10" t="str">
        <f aca="false">IF($H187="","",INDEX('Work Master'!$F:$F,$H187))</f>
        <v/>
      </c>
      <c r="E187" s="15" t="str">
        <f aca="false">IF($H187="","",INDEX('Work Master'!$G:$G,$H187))</f>
        <v/>
      </c>
      <c r="F187" s="10" t="str">
        <f aca="false">IF($H187="","",INDEX('Work Master'!$I:$I,$H187))</f>
        <v/>
      </c>
      <c r="H187" s="0" t="str">
        <f aca="false">IFERROR(MATCH(186,'Work Master'!$P:$P,0),"")</f>
        <v/>
      </c>
    </row>
    <row r="188" customFormat="false" ht="15" hidden="false" customHeight="false" outlineLevel="0" collapsed="false">
      <c r="A188" s="10" t="str">
        <f aca="false">IF($H188="","",INDEX('Work Master'!$A:$A,$H188))</f>
        <v/>
      </c>
      <c r="B188" s="10" t="str">
        <f aca="false">IF($H188="","",INDEX('Work Master'!$C:$C,$H188))</f>
        <v/>
      </c>
      <c r="C188" s="10" t="str">
        <f aca="false">IF($H188="","",INDEX('Work Master'!$D:$D,$H188))</f>
        <v/>
      </c>
      <c r="D188" s="10" t="str">
        <f aca="false">IF($H188="","",INDEX('Work Master'!$F:$F,$H188))</f>
        <v/>
      </c>
      <c r="E188" s="15" t="str">
        <f aca="false">IF($H188="","",INDEX('Work Master'!$G:$G,$H188))</f>
        <v/>
      </c>
      <c r="F188" s="10" t="str">
        <f aca="false">IF($H188="","",INDEX('Work Master'!$I:$I,$H188))</f>
        <v/>
      </c>
      <c r="H188" s="0" t="str">
        <f aca="false">IFERROR(MATCH(187,'Work Master'!$P:$P,0),"")</f>
        <v/>
      </c>
    </row>
    <row r="189" customFormat="false" ht="15" hidden="false" customHeight="false" outlineLevel="0" collapsed="false">
      <c r="A189" s="10" t="str">
        <f aca="false">IF($H189="","",INDEX('Work Master'!$A:$A,$H189))</f>
        <v/>
      </c>
      <c r="B189" s="10" t="str">
        <f aca="false">IF($H189="","",INDEX('Work Master'!$C:$C,$H189))</f>
        <v/>
      </c>
      <c r="C189" s="10" t="str">
        <f aca="false">IF($H189="","",INDEX('Work Master'!$D:$D,$H189))</f>
        <v/>
      </c>
      <c r="D189" s="10" t="str">
        <f aca="false">IF($H189="","",INDEX('Work Master'!$F:$F,$H189))</f>
        <v/>
      </c>
      <c r="E189" s="15" t="str">
        <f aca="false">IF($H189="","",INDEX('Work Master'!$G:$G,$H189))</f>
        <v/>
      </c>
      <c r="F189" s="10" t="str">
        <f aca="false">IF($H189="","",INDEX('Work Master'!$I:$I,$H189))</f>
        <v/>
      </c>
      <c r="H189" s="0" t="str">
        <f aca="false">IFERROR(MATCH(188,'Work Master'!$P:$P,0),"")</f>
        <v/>
      </c>
    </row>
    <row r="190" customFormat="false" ht="15" hidden="false" customHeight="false" outlineLevel="0" collapsed="false">
      <c r="A190" s="10" t="str">
        <f aca="false">IF($H190="","",INDEX('Work Master'!$A:$A,$H190))</f>
        <v/>
      </c>
      <c r="B190" s="10" t="str">
        <f aca="false">IF($H190="","",INDEX('Work Master'!$C:$C,$H190))</f>
        <v/>
      </c>
      <c r="C190" s="10" t="str">
        <f aca="false">IF($H190="","",INDEX('Work Master'!$D:$D,$H190))</f>
        <v/>
      </c>
      <c r="D190" s="10" t="str">
        <f aca="false">IF($H190="","",INDEX('Work Master'!$F:$F,$H190))</f>
        <v/>
      </c>
      <c r="E190" s="15" t="str">
        <f aca="false">IF($H190="","",INDEX('Work Master'!$G:$G,$H190))</f>
        <v/>
      </c>
      <c r="F190" s="10" t="str">
        <f aca="false">IF($H190="","",INDEX('Work Master'!$I:$I,$H190))</f>
        <v/>
      </c>
      <c r="H190" s="0" t="str">
        <f aca="false">IFERROR(MATCH(189,'Work Master'!$P:$P,0),"")</f>
        <v/>
      </c>
    </row>
    <row r="191" customFormat="false" ht="15" hidden="false" customHeight="false" outlineLevel="0" collapsed="false">
      <c r="A191" s="10" t="str">
        <f aca="false">IF($H191="","",INDEX('Work Master'!$A:$A,$H191))</f>
        <v/>
      </c>
      <c r="B191" s="10" t="str">
        <f aca="false">IF($H191="","",INDEX('Work Master'!$C:$C,$H191))</f>
        <v/>
      </c>
      <c r="C191" s="10" t="str">
        <f aca="false">IF($H191="","",INDEX('Work Master'!$D:$D,$H191))</f>
        <v/>
      </c>
      <c r="D191" s="10" t="str">
        <f aca="false">IF($H191="","",INDEX('Work Master'!$F:$F,$H191))</f>
        <v/>
      </c>
      <c r="E191" s="15" t="str">
        <f aca="false">IF($H191="","",INDEX('Work Master'!$G:$G,$H191))</f>
        <v/>
      </c>
      <c r="F191" s="10" t="str">
        <f aca="false">IF($H191="","",INDEX('Work Master'!$I:$I,$H191))</f>
        <v/>
      </c>
      <c r="H191" s="0" t="str">
        <f aca="false">IFERROR(MATCH(190,'Work Master'!$P:$P,0),"")</f>
        <v/>
      </c>
    </row>
    <row r="192" customFormat="false" ht="15" hidden="false" customHeight="false" outlineLevel="0" collapsed="false">
      <c r="A192" s="10" t="str">
        <f aca="false">IF($H192="","",INDEX('Work Master'!$A:$A,$H192))</f>
        <v/>
      </c>
      <c r="B192" s="10" t="str">
        <f aca="false">IF($H192="","",INDEX('Work Master'!$C:$C,$H192))</f>
        <v/>
      </c>
      <c r="C192" s="10" t="str">
        <f aca="false">IF($H192="","",INDEX('Work Master'!$D:$D,$H192))</f>
        <v/>
      </c>
      <c r="D192" s="10" t="str">
        <f aca="false">IF($H192="","",INDEX('Work Master'!$F:$F,$H192))</f>
        <v/>
      </c>
      <c r="E192" s="15" t="str">
        <f aca="false">IF($H192="","",INDEX('Work Master'!$G:$G,$H192))</f>
        <v/>
      </c>
      <c r="F192" s="10" t="str">
        <f aca="false">IF($H192="","",INDEX('Work Master'!$I:$I,$H192))</f>
        <v/>
      </c>
      <c r="H192" s="0" t="str">
        <f aca="false">IFERROR(MATCH(191,'Work Master'!$P:$P,0),"")</f>
        <v/>
      </c>
    </row>
    <row r="193" customFormat="false" ht="15" hidden="false" customHeight="false" outlineLevel="0" collapsed="false">
      <c r="A193" s="10" t="str">
        <f aca="false">IF($H193="","",INDEX('Work Master'!$A:$A,$H193))</f>
        <v/>
      </c>
      <c r="B193" s="10" t="str">
        <f aca="false">IF($H193="","",INDEX('Work Master'!$C:$C,$H193))</f>
        <v/>
      </c>
      <c r="C193" s="10" t="str">
        <f aca="false">IF($H193="","",INDEX('Work Master'!$D:$D,$H193))</f>
        <v/>
      </c>
      <c r="D193" s="10" t="str">
        <f aca="false">IF($H193="","",INDEX('Work Master'!$F:$F,$H193))</f>
        <v/>
      </c>
      <c r="E193" s="15" t="str">
        <f aca="false">IF($H193="","",INDEX('Work Master'!$G:$G,$H193))</f>
        <v/>
      </c>
      <c r="F193" s="10" t="str">
        <f aca="false">IF($H193="","",INDEX('Work Master'!$I:$I,$H193))</f>
        <v/>
      </c>
      <c r="H193" s="0" t="str">
        <f aca="false">IFERROR(MATCH(192,'Work Master'!$P:$P,0),"")</f>
        <v/>
      </c>
    </row>
    <row r="194" customFormat="false" ht="15" hidden="false" customHeight="false" outlineLevel="0" collapsed="false">
      <c r="A194" s="10" t="str">
        <f aca="false">IF($H194="","",INDEX('Work Master'!$A:$A,$H194))</f>
        <v/>
      </c>
      <c r="B194" s="10" t="str">
        <f aca="false">IF($H194="","",INDEX('Work Master'!$C:$C,$H194))</f>
        <v/>
      </c>
      <c r="C194" s="10" t="str">
        <f aca="false">IF($H194="","",INDEX('Work Master'!$D:$D,$H194))</f>
        <v/>
      </c>
      <c r="D194" s="10" t="str">
        <f aca="false">IF($H194="","",INDEX('Work Master'!$F:$F,$H194))</f>
        <v/>
      </c>
      <c r="E194" s="15" t="str">
        <f aca="false">IF($H194="","",INDEX('Work Master'!$G:$G,$H194))</f>
        <v/>
      </c>
      <c r="F194" s="10" t="str">
        <f aca="false">IF($H194="","",INDEX('Work Master'!$I:$I,$H194))</f>
        <v/>
      </c>
      <c r="H194" s="0" t="str">
        <f aca="false">IFERROR(MATCH(193,'Work Master'!$P:$P,0),"")</f>
        <v/>
      </c>
    </row>
    <row r="195" customFormat="false" ht="15" hidden="false" customHeight="false" outlineLevel="0" collapsed="false">
      <c r="A195" s="10" t="str">
        <f aca="false">IF($H195="","",INDEX('Work Master'!$A:$A,$H195))</f>
        <v/>
      </c>
      <c r="B195" s="10" t="str">
        <f aca="false">IF($H195="","",INDEX('Work Master'!$C:$C,$H195))</f>
        <v/>
      </c>
      <c r="C195" s="10" t="str">
        <f aca="false">IF($H195="","",INDEX('Work Master'!$D:$D,$H195))</f>
        <v/>
      </c>
      <c r="D195" s="10" t="str">
        <f aca="false">IF($H195="","",INDEX('Work Master'!$F:$F,$H195))</f>
        <v/>
      </c>
      <c r="E195" s="15" t="str">
        <f aca="false">IF($H195="","",INDEX('Work Master'!$G:$G,$H195))</f>
        <v/>
      </c>
      <c r="F195" s="10" t="str">
        <f aca="false">IF($H195="","",INDEX('Work Master'!$I:$I,$H195))</f>
        <v/>
      </c>
      <c r="H195" s="0" t="str">
        <f aca="false">IFERROR(MATCH(194,'Work Master'!$P:$P,0),"")</f>
        <v/>
      </c>
    </row>
    <row r="196" customFormat="false" ht="15" hidden="false" customHeight="false" outlineLevel="0" collapsed="false">
      <c r="A196" s="10" t="str">
        <f aca="false">IF($H196="","",INDEX('Work Master'!$A:$A,$H196))</f>
        <v/>
      </c>
      <c r="B196" s="10" t="str">
        <f aca="false">IF($H196="","",INDEX('Work Master'!$C:$C,$H196))</f>
        <v/>
      </c>
      <c r="C196" s="10" t="str">
        <f aca="false">IF($H196="","",INDEX('Work Master'!$D:$D,$H196))</f>
        <v/>
      </c>
      <c r="D196" s="10" t="str">
        <f aca="false">IF($H196="","",INDEX('Work Master'!$F:$F,$H196))</f>
        <v/>
      </c>
      <c r="E196" s="15" t="str">
        <f aca="false">IF($H196="","",INDEX('Work Master'!$G:$G,$H196))</f>
        <v/>
      </c>
      <c r="F196" s="10" t="str">
        <f aca="false">IF($H196="","",INDEX('Work Master'!$I:$I,$H196))</f>
        <v/>
      </c>
      <c r="H196" s="0" t="str">
        <f aca="false">IFERROR(MATCH(195,'Work Master'!$P:$P,0),"")</f>
        <v/>
      </c>
    </row>
    <row r="197" customFormat="false" ht="15" hidden="false" customHeight="false" outlineLevel="0" collapsed="false">
      <c r="A197" s="10" t="str">
        <f aca="false">IF($H197="","",INDEX('Work Master'!$A:$A,$H197))</f>
        <v/>
      </c>
      <c r="B197" s="10" t="str">
        <f aca="false">IF($H197="","",INDEX('Work Master'!$C:$C,$H197))</f>
        <v/>
      </c>
      <c r="C197" s="10" t="str">
        <f aca="false">IF($H197="","",INDEX('Work Master'!$D:$D,$H197))</f>
        <v/>
      </c>
      <c r="D197" s="10" t="str">
        <f aca="false">IF($H197="","",INDEX('Work Master'!$F:$F,$H197))</f>
        <v/>
      </c>
      <c r="E197" s="15" t="str">
        <f aca="false">IF($H197="","",INDEX('Work Master'!$G:$G,$H197))</f>
        <v/>
      </c>
      <c r="F197" s="10" t="str">
        <f aca="false">IF($H197="","",INDEX('Work Master'!$I:$I,$H197))</f>
        <v/>
      </c>
      <c r="H197" s="0" t="str">
        <f aca="false">IFERROR(MATCH(196,'Work Master'!$P:$P,0),"")</f>
        <v/>
      </c>
    </row>
    <row r="198" customFormat="false" ht="15" hidden="false" customHeight="false" outlineLevel="0" collapsed="false">
      <c r="A198" s="10" t="str">
        <f aca="false">IF($H198="","",INDEX('Work Master'!$A:$A,$H198))</f>
        <v/>
      </c>
      <c r="B198" s="10" t="str">
        <f aca="false">IF($H198="","",INDEX('Work Master'!$C:$C,$H198))</f>
        <v/>
      </c>
      <c r="C198" s="10" t="str">
        <f aca="false">IF($H198="","",INDEX('Work Master'!$D:$D,$H198))</f>
        <v/>
      </c>
      <c r="D198" s="10" t="str">
        <f aca="false">IF($H198="","",INDEX('Work Master'!$F:$F,$H198))</f>
        <v/>
      </c>
      <c r="E198" s="15" t="str">
        <f aca="false">IF($H198="","",INDEX('Work Master'!$G:$G,$H198))</f>
        <v/>
      </c>
      <c r="F198" s="10" t="str">
        <f aca="false">IF($H198="","",INDEX('Work Master'!$I:$I,$H198))</f>
        <v/>
      </c>
      <c r="H198" s="0" t="str">
        <f aca="false">IFERROR(MATCH(197,'Work Master'!$P:$P,0),"")</f>
        <v/>
      </c>
    </row>
    <row r="199" customFormat="false" ht="15" hidden="false" customHeight="false" outlineLevel="0" collapsed="false">
      <c r="A199" s="10" t="str">
        <f aca="false">IF($H199="","",INDEX('Work Master'!$A:$A,$H199))</f>
        <v/>
      </c>
      <c r="B199" s="10" t="str">
        <f aca="false">IF($H199="","",INDEX('Work Master'!$C:$C,$H199))</f>
        <v/>
      </c>
      <c r="C199" s="10" t="str">
        <f aca="false">IF($H199="","",INDEX('Work Master'!$D:$D,$H199))</f>
        <v/>
      </c>
      <c r="D199" s="10" t="str">
        <f aca="false">IF($H199="","",INDEX('Work Master'!$F:$F,$H199))</f>
        <v/>
      </c>
      <c r="E199" s="15" t="str">
        <f aca="false">IF($H199="","",INDEX('Work Master'!$G:$G,$H199))</f>
        <v/>
      </c>
      <c r="F199" s="10" t="str">
        <f aca="false">IF($H199="","",INDEX('Work Master'!$I:$I,$H199))</f>
        <v/>
      </c>
      <c r="H199" s="0" t="str">
        <f aca="false">IFERROR(MATCH(198,'Work Master'!$P:$P,0),"")</f>
        <v/>
      </c>
    </row>
    <row r="200" customFormat="false" ht="15" hidden="false" customHeight="false" outlineLevel="0" collapsed="false">
      <c r="A200" s="10" t="str">
        <f aca="false">IF($H200="","",INDEX('Work Master'!$A:$A,$H200))</f>
        <v/>
      </c>
      <c r="B200" s="10" t="str">
        <f aca="false">IF($H200="","",INDEX('Work Master'!$C:$C,$H200))</f>
        <v/>
      </c>
      <c r="C200" s="10" t="str">
        <f aca="false">IF($H200="","",INDEX('Work Master'!$D:$D,$H200))</f>
        <v/>
      </c>
      <c r="D200" s="10" t="str">
        <f aca="false">IF($H200="","",INDEX('Work Master'!$F:$F,$H200))</f>
        <v/>
      </c>
      <c r="E200" s="15" t="str">
        <f aca="false">IF($H200="","",INDEX('Work Master'!$G:$G,$H200))</f>
        <v/>
      </c>
      <c r="F200" s="10" t="str">
        <f aca="false">IF($H200="","",INDEX('Work Master'!$I:$I,$H200))</f>
        <v/>
      </c>
      <c r="H200" s="0" t="str">
        <f aca="false">IFERROR(MATCH(199,'Work Master'!$P:$P,0),"")</f>
        <v/>
      </c>
    </row>
    <row r="201" customFormat="false" ht="15" hidden="false" customHeight="false" outlineLevel="0" collapsed="false">
      <c r="A201" s="10" t="str">
        <f aca="false">IF($H201="","",INDEX('Work Master'!$A:$A,$H201))</f>
        <v/>
      </c>
      <c r="B201" s="10" t="str">
        <f aca="false">IF($H201="","",INDEX('Work Master'!$C:$C,$H201))</f>
        <v/>
      </c>
      <c r="C201" s="10" t="str">
        <f aca="false">IF($H201="","",INDEX('Work Master'!$D:$D,$H201))</f>
        <v/>
      </c>
      <c r="D201" s="10" t="str">
        <f aca="false">IF($H201="","",INDEX('Work Master'!$F:$F,$H201))</f>
        <v/>
      </c>
      <c r="E201" s="15" t="str">
        <f aca="false">IF($H201="","",INDEX('Work Master'!$G:$G,$H201))</f>
        <v/>
      </c>
      <c r="F201" s="10" t="str">
        <f aca="false">IF($H201="","",INDEX('Work Master'!$I:$I,$H201))</f>
        <v/>
      </c>
      <c r="H201" s="0" t="str">
        <f aca="false">IFERROR(MATCH(200,'Work Master'!$P:$P,0),"")</f>
        <v/>
      </c>
    </row>
    <row r="203" customFormat="false" ht="15" hidden="false" customHeight="false" outlineLevel="0" collapsed="false">
      <c r="C203" s="16" t="s">
        <v>62</v>
      </c>
      <c r="D203" s="16" t="n">
        <f aca="false">COUNTIF('Work Master'!$F:$F,"In Progress")+COUNTIF('Work Master'!$F:$F,"Pending Client Data")+COUNTIF('Work Master'!$F:$F,"Under Review")</f>
        <v>1</v>
      </c>
    </row>
    <row r="205" customFormat="false" ht="15" hidden="false" customHeight="false" outlineLevel="0" collapsed="false">
      <c r="A205" s="17" t="s">
        <v>63</v>
      </c>
    </row>
  </sheetData>
  <sheetProtection sheet="true" formatCells="false" selectLockedCells="true" sort="false" autoFilter="false" selectUnlockedCells="true"/>
  <autoFilter ref="A1:F2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true" outlineLevel="0" max="7" min="7" style="0" width="13"/>
  </cols>
  <sheetData>
    <row r="1" customFormat="false" ht="15" hidden="false" customHeight="false" outlineLevel="0" collapsed="false">
      <c r="A1" s="8" t="s">
        <v>34</v>
      </c>
      <c r="B1" s="8" t="s">
        <v>35</v>
      </c>
      <c r="C1" s="8" t="s">
        <v>36</v>
      </c>
      <c r="D1" s="8" t="s">
        <v>39</v>
      </c>
      <c r="E1" s="8" t="s">
        <v>41</v>
      </c>
      <c r="G1" s="14" t="s">
        <v>64</v>
      </c>
    </row>
    <row r="2" customFormat="false" ht="15" hidden="false" customHeight="false" outlineLevel="0" collapsed="false">
      <c r="A2" s="10" t="str">
        <f aca="false">IF($G2="","",INDEX('Work Master'!$A:$A,$G2))</f>
        <v>2627-W002</v>
      </c>
      <c r="B2" s="10" t="str">
        <f aca="false">IF($G2="","",INDEX('Work Master'!$C:$C,$G2))</f>
        <v>Sample Traders (example row)</v>
      </c>
      <c r="C2" s="10" t="str">
        <f aca="false">IF($G2="","",INDEX('Work Master'!$D:$D,$G2))</f>
        <v>Income Tax Return</v>
      </c>
      <c r="D2" s="15" t="n">
        <f aca="false">IF($G2="","",INDEX('Work Master'!$G:$G,$G2))</f>
        <v>46265</v>
      </c>
      <c r="E2" s="10" t="str">
        <f aca="false">IF($G2="","",INDEX('Work Master'!$I:$I,$G2))</f>
        <v>Staff 2</v>
      </c>
      <c r="G2" s="13" t="n">
        <f aca="false">IFERROR(MATCH(1,'Work Master'!$O:$O,0),"")</f>
        <v>3</v>
      </c>
    </row>
    <row r="3" customFormat="false" ht="15" hidden="false" customHeight="false" outlineLevel="0" collapsed="false">
      <c r="A3" s="10" t="str">
        <f aca="false">IF($G3="","",INDEX('Work Master'!$A:$A,$G3))</f>
        <v/>
      </c>
      <c r="B3" s="10" t="str">
        <f aca="false">IF($G3="","",INDEX('Work Master'!$C:$C,$G3))</f>
        <v/>
      </c>
      <c r="C3" s="10" t="str">
        <f aca="false">IF($G3="","",INDEX('Work Master'!$D:$D,$G3))</f>
        <v/>
      </c>
      <c r="D3" s="15" t="str">
        <f aca="false">IF($G3="","",INDEX('Work Master'!$G:$G,$G3))</f>
        <v/>
      </c>
      <c r="E3" s="10" t="str">
        <f aca="false">IF($G3="","",INDEX('Work Master'!$I:$I,$G3))</f>
        <v/>
      </c>
      <c r="G3" s="0" t="str">
        <f aca="false">IFERROR(MATCH(2,'Work Master'!$O:$O,0),"")</f>
        <v/>
      </c>
    </row>
    <row r="4" customFormat="false" ht="15" hidden="false" customHeight="false" outlineLevel="0" collapsed="false">
      <c r="A4" s="10" t="str">
        <f aca="false">IF($G4="","",INDEX('Work Master'!$A:$A,$G4))</f>
        <v/>
      </c>
      <c r="B4" s="10" t="str">
        <f aca="false">IF($G4="","",INDEX('Work Master'!$C:$C,$G4))</f>
        <v/>
      </c>
      <c r="C4" s="10" t="str">
        <f aca="false">IF($G4="","",INDEX('Work Master'!$D:$D,$G4))</f>
        <v/>
      </c>
      <c r="D4" s="15" t="str">
        <f aca="false">IF($G4="","",INDEX('Work Master'!$G:$G,$G4))</f>
        <v/>
      </c>
      <c r="E4" s="10" t="str">
        <f aca="false">IF($G4="","",INDEX('Work Master'!$I:$I,$G4))</f>
        <v/>
      </c>
      <c r="G4" s="0" t="str">
        <f aca="false">IFERROR(MATCH(3,'Work Master'!$O:$O,0),"")</f>
        <v/>
      </c>
    </row>
    <row r="5" customFormat="false" ht="15" hidden="false" customHeight="false" outlineLevel="0" collapsed="false">
      <c r="A5" s="10" t="str">
        <f aca="false">IF($G5="","",INDEX('Work Master'!$A:$A,$G5))</f>
        <v/>
      </c>
      <c r="B5" s="10" t="str">
        <f aca="false">IF($G5="","",INDEX('Work Master'!$C:$C,$G5))</f>
        <v/>
      </c>
      <c r="C5" s="10" t="str">
        <f aca="false">IF($G5="","",INDEX('Work Master'!$D:$D,$G5))</f>
        <v/>
      </c>
      <c r="D5" s="15" t="str">
        <f aca="false">IF($G5="","",INDEX('Work Master'!$G:$G,$G5))</f>
        <v/>
      </c>
      <c r="E5" s="10" t="str">
        <f aca="false">IF($G5="","",INDEX('Work Master'!$I:$I,$G5))</f>
        <v/>
      </c>
      <c r="G5" s="0" t="str">
        <f aca="false">IFERROR(MATCH(4,'Work Master'!$O:$O,0),"")</f>
        <v/>
      </c>
    </row>
    <row r="6" customFormat="false" ht="15" hidden="false" customHeight="false" outlineLevel="0" collapsed="false">
      <c r="A6" s="10" t="str">
        <f aca="false">IF($G6="","",INDEX('Work Master'!$A:$A,$G6))</f>
        <v/>
      </c>
      <c r="B6" s="10" t="str">
        <f aca="false">IF($G6="","",INDEX('Work Master'!$C:$C,$G6))</f>
        <v/>
      </c>
      <c r="C6" s="10" t="str">
        <f aca="false">IF($G6="","",INDEX('Work Master'!$D:$D,$G6))</f>
        <v/>
      </c>
      <c r="D6" s="15" t="str">
        <f aca="false">IF($G6="","",INDEX('Work Master'!$G:$G,$G6))</f>
        <v/>
      </c>
      <c r="E6" s="10" t="str">
        <f aca="false">IF($G6="","",INDEX('Work Master'!$I:$I,$G6))</f>
        <v/>
      </c>
      <c r="G6" s="0" t="str">
        <f aca="false">IFERROR(MATCH(5,'Work Master'!$O:$O,0),"")</f>
        <v/>
      </c>
    </row>
    <row r="7" customFormat="false" ht="15" hidden="false" customHeight="false" outlineLevel="0" collapsed="false">
      <c r="A7" s="10" t="str">
        <f aca="false">IF($G7="","",INDEX('Work Master'!$A:$A,$G7))</f>
        <v/>
      </c>
      <c r="B7" s="10" t="str">
        <f aca="false">IF($G7="","",INDEX('Work Master'!$C:$C,$G7))</f>
        <v/>
      </c>
      <c r="C7" s="10" t="str">
        <f aca="false">IF($G7="","",INDEX('Work Master'!$D:$D,$G7))</f>
        <v/>
      </c>
      <c r="D7" s="15" t="str">
        <f aca="false">IF($G7="","",INDEX('Work Master'!$G:$G,$G7))</f>
        <v/>
      </c>
      <c r="E7" s="10" t="str">
        <f aca="false">IF($G7="","",INDEX('Work Master'!$I:$I,$G7))</f>
        <v/>
      </c>
      <c r="G7" s="0" t="str">
        <f aca="false">IFERROR(MATCH(6,'Work Master'!$O:$O,0),"")</f>
        <v/>
      </c>
    </row>
    <row r="8" customFormat="false" ht="15" hidden="false" customHeight="false" outlineLevel="0" collapsed="false">
      <c r="A8" s="10" t="str">
        <f aca="false">IF($G8="","",INDEX('Work Master'!$A:$A,$G8))</f>
        <v/>
      </c>
      <c r="B8" s="10" t="str">
        <f aca="false">IF($G8="","",INDEX('Work Master'!$C:$C,$G8))</f>
        <v/>
      </c>
      <c r="C8" s="10" t="str">
        <f aca="false">IF($G8="","",INDEX('Work Master'!$D:$D,$G8))</f>
        <v/>
      </c>
      <c r="D8" s="15" t="str">
        <f aca="false">IF($G8="","",INDEX('Work Master'!$G:$G,$G8))</f>
        <v/>
      </c>
      <c r="E8" s="10" t="str">
        <f aca="false">IF($G8="","",INDEX('Work Master'!$I:$I,$G8))</f>
        <v/>
      </c>
      <c r="G8" s="0" t="str">
        <f aca="false">IFERROR(MATCH(7,'Work Master'!$O:$O,0),"")</f>
        <v/>
      </c>
    </row>
    <row r="9" customFormat="false" ht="15" hidden="false" customHeight="false" outlineLevel="0" collapsed="false">
      <c r="A9" s="10" t="str">
        <f aca="false">IF($G9="","",INDEX('Work Master'!$A:$A,$G9))</f>
        <v/>
      </c>
      <c r="B9" s="10" t="str">
        <f aca="false">IF($G9="","",INDEX('Work Master'!$C:$C,$G9))</f>
        <v/>
      </c>
      <c r="C9" s="10" t="str">
        <f aca="false">IF($G9="","",INDEX('Work Master'!$D:$D,$G9))</f>
        <v/>
      </c>
      <c r="D9" s="15" t="str">
        <f aca="false">IF($G9="","",INDEX('Work Master'!$G:$G,$G9))</f>
        <v/>
      </c>
      <c r="E9" s="10" t="str">
        <f aca="false">IF($G9="","",INDEX('Work Master'!$I:$I,$G9))</f>
        <v/>
      </c>
      <c r="G9" s="0" t="str">
        <f aca="false">IFERROR(MATCH(8,'Work Master'!$O:$O,0),"")</f>
        <v/>
      </c>
    </row>
    <row r="10" customFormat="false" ht="15" hidden="false" customHeight="false" outlineLevel="0" collapsed="false">
      <c r="A10" s="10" t="str">
        <f aca="false">IF($G10="","",INDEX('Work Master'!$A:$A,$G10))</f>
        <v/>
      </c>
      <c r="B10" s="10" t="str">
        <f aca="false">IF($G10="","",INDEX('Work Master'!$C:$C,$G10))</f>
        <v/>
      </c>
      <c r="C10" s="10" t="str">
        <f aca="false">IF($G10="","",INDEX('Work Master'!$D:$D,$G10))</f>
        <v/>
      </c>
      <c r="D10" s="15" t="str">
        <f aca="false">IF($G10="","",INDEX('Work Master'!$G:$G,$G10))</f>
        <v/>
      </c>
      <c r="E10" s="10" t="str">
        <f aca="false">IF($G10="","",INDEX('Work Master'!$I:$I,$G10))</f>
        <v/>
      </c>
      <c r="G10" s="0" t="str">
        <f aca="false">IFERROR(MATCH(9,'Work Master'!$O:$O,0),"")</f>
        <v/>
      </c>
    </row>
    <row r="11" customFormat="false" ht="15" hidden="false" customHeight="false" outlineLevel="0" collapsed="false">
      <c r="A11" s="10" t="str">
        <f aca="false">IF($G11="","",INDEX('Work Master'!$A:$A,$G11))</f>
        <v/>
      </c>
      <c r="B11" s="10" t="str">
        <f aca="false">IF($G11="","",INDEX('Work Master'!$C:$C,$G11))</f>
        <v/>
      </c>
      <c r="C11" s="10" t="str">
        <f aca="false">IF($G11="","",INDEX('Work Master'!$D:$D,$G11))</f>
        <v/>
      </c>
      <c r="D11" s="15" t="str">
        <f aca="false">IF($G11="","",INDEX('Work Master'!$G:$G,$G11))</f>
        <v/>
      </c>
      <c r="E11" s="10" t="str">
        <f aca="false">IF($G11="","",INDEX('Work Master'!$I:$I,$G11))</f>
        <v/>
      </c>
      <c r="G11" s="0" t="str">
        <f aca="false">IFERROR(MATCH(10,'Work Master'!$O:$O,0),"")</f>
        <v/>
      </c>
    </row>
    <row r="12" customFormat="false" ht="15" hidden="false" customHeight="false" outlineLevel="0" collapsed="false">
      <c r="A12" s="10" t="str">
        <f aca="false">IF($G12="","",INDEX('Work Master'!$A:$A,$G12))</f>
        <v/>
      </c>
      <c r="B12" s="10" t="str">
        <f aca="false">IF($G12="","",INDEX('Work Master'!$C:$C,$G12))</f>
        <v/>
      </c>
      <c r="C12" s="10" t="str">
        <f aca="false">IF($G12="","",INDEX('Work Master'!$D:$D,$G12))</f>
        <v/>
      </c>
      <c r="D12" s="15" t="str">
        <f aca="false">IF($G12="","",INDEX('Work Master'!$G:$G,$G12))</f>
        <v/>
      </c>
      <c r="E12" s="10" t="str">
        <f aca="false">IF($G12="","",INDEX('Work Master'!$I:$I,$G12))</f>
        <v/>
      </c>
      <c r="G12" s="0" t="str">
        <f aca="false">IFERROR(MATCH(11,'Work Master'!$O:$O,0),"")</f>
        <v/>
      </c>
    </row>
    <row r="13" customFormat="false" ht="15" hidden="false" customHeight="false" outlineLevel="0" collapsed="false">
      <c r="A13" s="10" t="str">
        <f aca="false">IF($G13="","",INDEX('Work Master'!$A:$A,$G13))</f>
        <v/>
      </c>
      <c r="B13" s="10" t="str">
        <f aca="false">IF($G13="","",INDEX('Work Master'!$C:$C,$G13))</f>
        <v/>
      </c>
      <c r="C13" s="10" t="str">
        <f aca="false">IF($G13="","",INDEX('Work Master'!$D:$D,$G13))</f>
        <v/>
      </c>
      <c r="D13" s="15" t="str">
        <f aca="false">IF($G13="","",INDEX('Work Master'!$G:$G,$G13))</f>
        <v/>
      </c>
      <c r="E13" s="10" t="str">
        <f aca="false">IF($G13="","",INDEX('Work Master'!$I:$I,$G13))</f>
        <v/>
      </c>
      <c r="G13" s="0" t="str">
        <f aca="false">IFERROR(MATCH(12,'Work Master'!$O:$O,0),"")</f>
        <v/>
      </c>
    </row>
    <row r="14" customFormat="false" ht="15" hidden="false" customHeight="false" outlineLevel="0" collapsed="false">
      <c r="A14" s="10" t="str">
        <f aca="false">IF($G14="","",INDEX('Work Master'!$A:$A,$G14))</f>
        <v/>
      </c>
      <c r="B14" s="10" t="str">
        <f aca="false">IF($G14="","",INDEX('Work Master'!$C:$C,$G14))</f>
        <v/>
      </c>
      <c r="C14" s="10" t="str">
        <f aca="false">IF($G14="","",INDEX('Work Master'!$D:$D,$G14))</f>
        <v/>
      </c>
      <c r="D14" s="15" t="str">
        <f aca="false">IF($G14="","",INDEX('Work Master'!$G:$G,$G14))</f>
        <v/>
      </c>
      <c r="E14" s="10" t="str">
        <f aca="false">IF($G14="","",INDEX('Work Master'!$I:$I,$G14))</f>
        <v/>
      </c>
      <c r="G14" s="0" t="str">
        <f aca="false">IFERROR(MATCH(13,'Work Master'!$O:$O,0),"")</f>
        <v/>
      </c>
    </row>
    <row r="15" customFormat="false" ht="15" hidden="false" customHeight="false" outlineLevel="0" collapsed="false">
      <c r="A15" s="10" t="str">
        <f aca="false">IF($G15="","",INDEX('Work Master'!$A:$A,$G15))</f>
        <v/>
      </c>
      <c r="B15" s="10" t="str">
        <f aca="false">IF($G15="","",INDEX('Work Master'!$C:$C,$G15))</f>
        <v/>
      </c>
      <c r="C15" s="10" t="str">
        <f aca="false">IF($G15="","",INDEX('Work Master'!$D:$D,$G15))</f>
        <v/>
      </c>
      <c r="D15" s="15" t="str">
        <f aca="false">IF($G15="","",INDEX('Work Master'!$G:$G,$G15))</f>
        <v/>
      </c>
      <c r="E15" s="10" t="str">
        <f aca="false">IF($G15="","",INDEX('Work Master'!$I:$I,$G15))</f>
        <v/>
      </c>
      <c r="G15" s="0" t="str">
        <f aca="false">IFERROR(MATCH(14,'Work Master'!$O:$O,0),"")</f>
        <v/>
      </c>
    </row>
    <row r="16" customFormat="false" ht="15" hidden="false" customHeight="false" outlineLevel="0" collapsed="false">
      <c r="A16" s="10" t="str">
        <f aca="false">IF($G16="","",INDEX('Work Master'!$A:$A,$G16))</f>
        <v/>
      </c>
      <c r="B16" s="10" t="str">
        <f aca="false">IF($G16="","",INDEX('Work Master'!$C:$C,$G16))</f>
        <v/>
      </c>
      <c r="C16" s="10" t="str">
        <f aca="false">IF($G16="","",INDEX('Work Master'!$D:$D,$G16))</f>
        <v/>
      </c>
      <c r="D16" s="15" t="str">
        <f aca="false">IF($G16="","",INDEX('Work Master'!$G:$G,$G16))</f>
        <v/>
      </c>
      <c r="E16" s="10" t="str">
        <f aca="false">IF($G16="","",INDEX('Work Master'!$I:$I,$G16))</f>
        <v/>
      </c>
      <c r="G16" s="0" t="str">
        <f aca="false">IFERROR(MATCH(15,'Work Master'!$O:$O,0),"")</f>
        <v/>
      </c>
    </row>
    <row r="17" customFormat="false" ht="15" hidden="false" customHeight="false" outlineLevel="0" collapsed="false">
      <c r="A17" s="10" t="str">
        <f aca="false">IF($G17="","",INDEX('Work Master'!$A:$A,$G17))</f>
        <v/>
      </c>
      <c r="B17" s="10" t="str">
        <f aca="false">IF($G17="","",INDEX('Work Master'!$C:$C,$G17))</f>
        <v/>
      </c>
      <c r="C17" s="10" t="str">
        <f aca="false">IF($G17="","",INDEX('Work Master'!$D:$D,$G17))</f>
        <v/>
      </c>
      <c r="D17" s="15" t="str">
        <f aca="false">IF($G17="","",INDEX('Work Master'!$G:$G,$G17))</f>
        <v/>
      </c>
      <c r="E17" s="10" t="str">
        <f aca="false">IF($G17="","",INDEX('Work Master'!$I:$I,$G17))</f>
        <v/>
      </c>
      <c r="G17" s="0" t="str">
        <f aca="false">IFERROR(MATCH(16,'Work Master'!$O:$O,0),"")</f>
        <v/>
      </c>
    </row>
    <row r="18" customFormat="false" ht="15" hidden="false" customHeight="false" outlineLevel="0" collapsed="false">
      <c r="A18" s="10" t="str">
        <f aca="false">IF($G18="","",INDEX('Work Master'!$A:$A,$G18))</f>
        <v/>
      </c>
      <c r="B18" s="10" t="str">
        <f aca="false">IF($G18="","",INDEX('Work Master'!$C:$C,$G18))</f>
        <v/>
      </c>
      <c r="C18" s="10" t="str">
        <f aca="false">IF($G18="","",INDEX('Work Master'!$D:$D,$G18))</f>
        <v/>
      </c>
      <c r="D18" s="15" t="str">
        <f aca="false">IF($G18="","",INDEX('Work Master'!$G:$G,$G18))</f>
        <v/>
      </c>
      <c r="E18" s="10" t="str">
        <f aca="false">IF($G18="","",INDEX('Work Master'!$I:$I,$G18))</f>
        <v/>
      </c>
      <c r="G18" s="0" t="str">
        <f aca="false">IFERROR(MATCH(17,'Work Master'!$O:$O,0),"")</f>
        <v/>
      </c>
    </row>
    <row r="19" customFormat="false" ht="15" hidden="false" customHeight="false" outlineLevel="0" collapsed="false">
      <c r="A19" s="10" t="str">
        <f aca="false">IF($G19="","",INDEX('Work Master'!$A:$A,$G19))</f>
        <v/>
      </c>
      <c r="B19" s="10" t="str">
        <f aca="false">IF($G19="","",INDEX('Work Master'!$C:$C,$G19))</f>
        <v/>
      </c>
      <c r="C19" s="10" t="str">
        <f aca="false">IF($G19="","",INDEX('Work Master'!$D:$D,$G19))</f>
        <v/>
      </c>
      <c r="D19" s="15" t="str">
        <f aca="false">IF($G19="","",INDEX('Work Master'!$G:$G,$G19))</f>
        <v/>
      </c>
      <c r="E19" s="10" t="str">
        <f aca="false">IF($G19="","",INDEX('Work Master'!$I:$I,$G19))</f>
        <v/>
      </c>
      <c r="G19" s="0" t="str">
        <f aca="false">IFERROR(MATCH(18,'Work Master'!$O:$O,0),"")</f>
        <v/>
      </c>
    </row>
    <row r="20" customFormat="false" ht="15" hidden="false" customHeight="false" outlineLevel="0" collapsed="false">
      <c r="A20" s="10" t="str">
        <f aca="false">IF($G20="","",INDEX('Work Master'!$A:$A,$G20))</f>
        <v/>
      </c>
      <c r="B20" s="10" t="str">
        <f aca="false">IF($G20="","",INDEX('Work Master'!$C:$C,$G20))</f>
        <v/>
      </c>
      <c r="C20" s="10" t="str">
        <f aca="false">IF($G20="","",INDEX('Work Master'!$D:$D,$G20))</f>
        <v/>
      </c>
      <c r="D20" s="15" t="str">
        <f aca="false">IF($G20="","",INDEX('Work Master'!$G:$G,$G20))</f>
        <v/>
      </c>
      <c r="E20" s="10" t="str">
        <f aca="false">IF($G20="","",INDEX('Work Master'!$I:$I,$G20))</f>
        <v/>
      </c>
      <c r="G20" s="0" t="str">
        <f aca="false">IFERROR(MATCH(19,'Work Master'!$O:$O,0),"")</f>
        <v/>
      </c>
    </row>
    <row r="21" customFormat="false" ht="15" hidden="false" customHeight="false" outlineLevel="0" collapsed="false">
      <c r="A21" s="10" t="str">
        <f aca="false">IF($G21="","",INDEX('Work Master'!$A:$A,$G21))</f>
        <v/>
      </c>
      <c r="B21" s="10" t="str">
        <f aca="false">IF($G21="","",INDEX('Work Master'!$C:$C,$G21))</f>
        <v/>
      </c>
      <c r="C21" s="10" t="str">
        <f aca="false">IF($G21="","",INDEX('Work Master'!$D:$D,$G21))</f>
        <v/>
      </c>
      <c r="D21" s="15" t="str">
        <f aca="false">IF($G21="","",INDEX('Work Master'!$G:$G,$G21))</f>
        <v/>
      </c>
      <c r="E21" s="10" t="str">
        <f aca="false">IF($G21="","",INDEX('Work Master'!$I:$I,$G21))</f>
        <v/>
      </c>
      <c r="G21" s="0" t="str">
        <f aca="false">IFERROR(MATCH(20,'Work Master'!$O:$O,0),"")</f>
        <v/>
      </c>
    </row>
    <row r="22" customFormat="false" ht="15" hidden="false" customHeight="false" outlineLevel="0" collapsed="false">
      <c r="A22" s="10" t="str">
        <f aca="false">IF($G22="","",INDEX('Work Master'!$A:$A,$G22))</f>
        <v/>
      </c>
      <c r="B22" s="10" t="str">
        <f aca="false">IF($G22="","",INDEX('Work Master'!$C:$C,$G22))</f>
        <v/>
      </c>
      <c r="C22" s="10" t="str">
        <f aca="false">IF($G22="","",INDEX('Work Master'!$D:$D,$G22))</f>
        <v/>
      </c>
      <c r="D22" s="15" t="str">
        <f aca="false">IF($G22="","",INDEX('Work Master'!$G:$G,$G22))</f>
        <v/>
      </c>
      <c r="E22" s="10" t="str">
        <f aca="false">IF($G22="","",INDEX('Work Master'!$I:$I,$G22))</f>
        <v/>
      </c>
      <c r="G22" s="0" t="str">
        <f aca="false">IFERROR(MATCH(21,'Work Master'!$O:$O,0),"")</f>
        <v/>
      </c>
    </row>
    <row r="23" customFormat="false" ht="15" hidden="false" customHeight="false" outlineLevel="0" collapsed="false">
      <c r="A23" s="10" t="str">
        <f aca="false">IF($G23="","",INDEX('Work Master'!$A:$A,$G23))</f>
        <v/>
      </c>
      <c r="B23" s="10" t="str">
        <f aca="false">IF($G23="","",INDEX('Work Master'!$C:$C,$G23))</f>
        <v/>
      </c>
      <c r="C23" s="10" t="str">
        <f aca="false">IF($G23="","",INDEX('Work Master'!$D:$D,$G23))</f>
        <v/>
      </c>
      <c r="D23" s="15" t="str">
        <f aca="false">IF($G23="","",INDEX('Work Master'!$G:$G,$G23))</f>
        <v/>
      </c>
      <c r="E23" s="10" t="str">
        <f aca="false">IF($G23="","",INDEX('Work Master'!$I:$I,$G23))</f>
        <v/>
      </c>
      <c r="G23" s="0" t="str">
        <f aca="false">IFERROR(MATCH(22,'Work Master'!$O:$O,0),"")</f>
        <v/>
      </c>
    </row>
    <row r="24" customFormat="false" ht="15" hidden="false" customHeight="false" outlineLevel="0" collapsed="false">
      <c r="A24" s="10" t="str">
        <f aca="false">IF($G24="","",INDEX('Work Master'!$A:$A,$G24))</f>
        <v/>
      </c>
      <c r="B24" s="10" t="str">
        <f aca="false">IF($G24="","",INDEX('Work Master'!$C:$C,$G24))</f>
        <v/>
      </c>
      <c r="C24" s="10" t="str">
        <f aca="false">IF($G24="","",INDEX('Work Master'!$D:$D,$G24))</f>
        <v/>
      </c>
      <c r="D24" s="15" t="str">
        <f aca="false">IF($G24="","",INDEX('Work Master'!$G:$G,$G24))</f>
        <v/>
      </c>
      <c r="E24" s="10" t="str">
        <f aca="false">IF($G24="","",INDEX('Work Master'!$I:$I,$G24))</f>
        <v/>
      </c>
      <c r="G24" s="0" t="str">
        <f aca="false">IFERROR(MATCH(23,'Work Master'!$O:$O,0),"")</f>
        <v/>
      </c>
    </row>
    <row r="25" customFormat="false" ht="15" hidden="false" customHeight="false" outlineLevel="0" collapsed="false">
      <c r="A25" s="10" t="str">
        <f aca="false">IF($G25="","",INDEX('Work Master'!$A:$A,$G25))</f>
        <v/>
      </c>
      <c r="B25" s="10" t="str">
        <f aca="false">IF($G25="","",INDEX('Work Master'!$C:$C,$G25))</f>
        <v/>
      </c>
      <c r="C25" s="10" t="str">
        <f aca="false">IF($G25="","",INDEX('Work Master'!$D:$D,$G25))</f>
        <v/>
      </c>
      <c r="D25" s="15" t="str">
        <f aca="false">IF($G25="","",INDEX('Work Master'!$G:$G,$G25))</f>
        <v/>
      </c>
      <c r="E25" s="10" t="str">
        <f aca="false">IF($G25="","",INDEX('Work Master'!$I:$I,$G25))</f>
        <v/>
      </c>
      <c r="G25" s="0" t="str">
        <f aca="false">IFERROR(MATCH(24,'Work Master'!$O:$O,0),"")</f>
        <v/>
      </c>
    </row>
    <row r="26" customFormat="false" ht="15" hidden="false" customHeight="false" outlineLevel="0" collapsed="false">
      <c r="A26" s="10" t="str">
        <f aca="false">IF($G26="","",INDEX('Work Master'!$A:$A,$G26))</f>
        <v/>
      </c>
      <c r="B26" s="10" t="str">
        <f aca="false">IF($G26="","",INDEX('Work Master'!$C:$C,$G26))</f>
        <v/>
      </c>
      <c r="C26" s="10" t="str">
        <f aca="false">IF($G26="","",INDEX('Work Master'!$D:$D,$G26))</f>
        <v/>
      </c>
      <c r="D26" s="15" t="str">
        <f aca="false">IF($G26="","",INDEX('Work Master'!$G:$G,$G26))</f>
        <v/>
      </c>
      <c r="E26" s="10" t="str">
        <f aca="false">IF($G26="","",INDEX('Work Master'!$I:$I,$G26))</f>
        <v/>
      </c>
      <c r="G26" s="0" t="str">
        <f aca="false">IFERROR(MATCH(25,'Work Master'!$O:$O,0),"")</f>
        <v/>
      </c>
    </row>
    <row r="27" customFormat="false" ht="15" hidden="false" customHeight="false" outlineLevel="0" collapsed="false">
      <c r="A27" s="10" t="str">
        <f aca="false">IF($G27="","",INDEX('Work Master'!$A:$A,$G27))</f>
        <v/>
      </c>
      <c r="B27" s="10" t="str">
        <f aca="false">IF($G27="","",INDEX('Work Master'!$C:$C,$G27))</f>
        <v/>
      </c>
      <c r="C27" s="10" t="str">
        <f aca="false">IF($G27="","",INDEX('Work Master'!$D:$D,$G27))</f>
        <v/>
      </c>
      <c r="D27" s="15" t="str">
        <f aca="false">IF($G27="","",INDEX('Work Master'!$G:$G,$G27))</f>
        <v/>
      </c>
      <c r="E27" s="10" t="str">
        <f aca="false">IF($G27="","",INDEX('Work Master'!$I:$I,$G27))</f>
        <v/>
      </c>
      <c r="G27" s="0" t="str">
        <f aca="false">IFERROR(MATCH(26,'Work Master'!$O:$O,0),"")</f>
        <v/>
      </c>
    </row>
    <row r="28" customFormat="false" ht="15" hidden="false" customHeight="false" outlineLevel="0" collapsed="false">
      <c r="A28" s="10" t="str">
        <f aca="false">IF($G28="","",INDEX('Work Master'!$A:$A,$G28))</f>
        <v/>
      </c>
      <c r="B28" s="10" t="str">
        <f aca="false">IF($G28="","",INDEX('Work Master'!$C:$C,$G28))</f>
        <v/>
      </c>
      <c r="C28" s="10" t="str">
        <f aca="false">IF($G28="","",INDEX('Work Master'!$D:$D,$G28))</f>
        <v/>
      </c>
      <c r="D28" s="15" t="str">
        <f aca="false">IF($G28="","",INDEX('Work Master'!$G:$G,$G28))</f>
        <v/>
      </c>
      <c r="E28" s="10" t="str">
        <f aca="false">IF($G28="","",INDEX('Work Master'!$I:$I,$G28))</f>
        <v/>
      </c>
      <c r="G28" s="0" t="str">
        <f aca="false">IFERROR(MATCH(27,'Work Master'!$O:$O,0),"")</f>
        <v/>
      </c>
    </row>
    <row r="29" customFormat="false" ht="15" hidden="false" customHeight="false" outlineLevel="0" collapsed="false">
      <c r="A29" s="10" t="str">
        <f aca="false">IF($G29="","",INDEX('Work Master'!$A:$A,$G29))</f>
        <v/>
      </c>
      <c r="B29" s="10" t="str">
        <f aca="false">IF($G29="","",INDEX('Work Master'!$C:$C,$G29))</f>
        <v/>
      </c>
      <c r="C29" s="10" t="str">
        <f aca="false">IF($G29="","",INDEX('Work Master'!$D:$D,$G29))</f>
        <v/>
      </c>
      <c r="D29" s="15" t="str">
        <f aca="false">IF($G29="","",INDEX('Work Master'!$G:$G,$G29))</f>
        <v/>
      </c>
      <c r="E29" s="10" t="str">
        <f aca="false">IF($G29="","",INDEX('Work Master'!$I:$I,$G29))</f>
        <v/>
      </c>
      <c r="G29" s="0" t="str">
        <f aca="false">IFERROR(MATCH(28,'Work Master'!$O:$O,0),"")</f>
        <v/>
      </c>
    </row>
    <row r="30" customFormat="false" ht="15" hidden="false" customHeight="false" outlineLevel="0" collapsed="false">
      <c r="A30" s="10" t="str">
        <f aca="false">IF($G30="","",INDEX('Work Master'!$A:$A,$G30))</f>
        <v/>
      </c>
      <c r="B30" s="10" t="str">
        <f aca="false">IF($G30="","",INDEX('Work Master'!$C:$C,$G30))</f>
        <v/>
      </c>
      <c r="C30" s="10" t="str">
        <f aca="false">IF($G30="","",INDEX('Work Master'!$D:$D,$G30))</f>
        <v/>
      </c>
      <c r="D30" s="15" t="str">
        <f aca="false">IF($G30="","",INDEX('Work Master'!$G:$G,$G30))</f>
        <v/>
      </c>
      <c r="E30" s="10" t="str">
        <f aca="false">IF($G30="","",INDEX('Work Master'!$I:$I,$G30))</f>
        <v/>
      </c>
      <c r="G30" s="0" t="str">
        <f aca="false">IFERROR(MATCH(29,'Work Master'!$O:$O,0),"")</f>
        <v/>
      </c>
    </row>
    <row r="31" customFormat="false" ht="15" hidden="false" customHeight="false" outlineLevel="0" collapsed="false">
      <c r="A31" s="10" t="str">
        <f aca="false">IF($G31="","",INDEX('Work Master'!$A:$A,$G31))</f>
        <v/>
      </c>
      <c r="B31" s="10" t="str">
        <f aca="false">IF($G31="","",INDEX('Work Master'!$C:$C,$G31))</f>
        <v/>
      </c>
      <c r="C31" s="10" t="str">
        <f aca="false">IF($G31="","",INDEX('Work Master'!$D:$D,$G31))</f>
        <v/>
      </c>
      <c r="D31" s="15" t="str">
        <f aca="false">IF($G31="","",INDEX('Work Master'!$G:$G,$G31))</f>
        <v/>
      </c>
      <c r="E31" s="10" t="str">
        <f aca="false">IF($G31="","",INDEX('Work Master'!$I:$I,$G31))</f>
        <v/>
      </c>
      <c r="G31" s="0" t="str">
        <f aca="false">IFERROR(MATCH(30,'Work Master'!$O:$O,0),"")</f>
        <v/>
      </c>
    </row>
    <row r="32" customFormat="false" ht="15" hidden="false" customHeight="false" outlineLevel="0" collapsed="false">
      <c r="A32" s="10" t="str">
        <f aca="false">IF($G32="","",INDEX('Work Master'!$A:$A,$G32))</f>
        <v/>
      </c>
      <c r="B32" s="10" t="str">
        <f aca="false">IF($G32="","",INDEX('Work Master'!$C:$C,$G32))</f>
        <v/>
      </c>
      <c r="C32" s="10" t="str">
        <f aca="false">IF($G32="","",INDEX('Work Master'!$D:$D,$G32))</f>
        <v/>
      </c>
      <c r="D32" s="15" t="str">
        <f aca="false">IF($G32="","",INDEX('Work Master'!$G:$G,$G32))</f>
        <v/>
      </c>
      <c r="E32" s="10" t="str">
        <f aca="false">IF($G32="","",INDEX('Work Master'!$I:$I,$G32))</f>
        <v/>
      </c>
      <c r="G32" s="0" t="str">
        <f aca="false">IFERROR(MATCH(31,'Work Master'!$O:$O,0),"")</f>
        <v/>
      </c>
    </row>
    <row r="33" customFormat="false" ht="15" hidden="false" customHeight="false" outlineLevel="0" collapsed="false">
      <c r="A33" s="10" t="str">
        <f aca="false">IF($G33="","",INDEX('Work Master'!$A:$A,$G33))</f>
        <v/>
      </c>
      <c r="B33" s="10" t="str">
        <f aca="false">IF($G33="","",INDEX('Work Master'!$C:$C,$G33))</f>
        <v/>
      </c>
      <c r="C33" s="10" t="str">
        <f aca="false">IF($G33="","",INDEX('Work Master'!$D:$D,$G33))</f>
        <v/>
      </c>
      <c r="D33" s="15" t="str">
        <f aca="false">IF($G33="","",INDEX('Work Master'!$G:$G,$G33))</f>
        <v/>
      </c>
      <c r="E33" s="10" t="str">
        <f aca="false">IF($G33="","",INDEX('Work Master'!$I:$I,$G33))</f>
        <v/>
      </c>
      <c r="G33" s="0" t="str">
        <f aca="false">IFERROR(MATCH(32,'Work Master'!$O:$O,0),"")</f>
        <v/>
      </c>
    </row>
    <row r="34" customFormat="false" ht="15" hidden="false" customHeight="false" outlineLevel="0" collapsed="false">
      <c r="A34" s="10" t="str">
        <f aca="false">IF($G34="","",INDEX('Work Master'!$A:$A,$G34))</f>
        <v/>
      </c>
      <c r="B34" s="10" t="str">
        <f aca="false">IF($G34="","",INDEX('Work Master'!$C:$C,$G34))</f>
        <v/>
      </c>
      <c r="C34" s="10" t="str">
        <f aca="false">IF($G34="","",INDEX('Work Master'!$D:$D,$G34))</f>
        <v/>
      </c>
      <c r="D34" s="15" t="str">
        <f aca="false">IF($G34="","",INDEX('Work Master'!$G:$G,$G34))</f>
        <v/>
      </c>
      <c r="E34" s="10" t="str">
        <f aca="false">IF($G34="","",INDEX('Work Master'!$I:$I,$G34))</f>
        <v/>
      </c>
      <c r="G34" s="0" t="str">
        <f aca="false">IFERROR(MATCH(33,'Work Master'!$O:$O,0),"")</f>
        <v/>
      </c>
    </row>
    <row r="35" customFormat="false" ht="15" hidden="false" customHeight="false" outlineLevel="0" collapsed="false">
      <c r="A35" s="10" t="str">
        <f aca="false">IF($G35="","",INDEX('Work Master'!$A:$A,$G35))</f>
        <v/>
      </c>
      <c r="B35" s="10" t="str">
        <f aca="false">IF($G35="","",INDEX('Work Master'!$C:$C,$G35))</f>
        <v/>
      </c>
      <c r="C35" s="10" t="str">
        <f aca="false">IF($G35="","",INDEX('Work Master'!$D:$D,$G35))</f>
        <v/>
      </c>
      <c r="D35" s="15" t="str">
        <f aca="false">IF($G35="","",INDEX('Work Master'!$G:$G,$G35))</f>
        <v/>
      </c>
      <c r="E35" s="10" t="str">
        <f aca="false">IF($G35="","",INDEX('Work Master'!$I:$I,$G35))</f>
        <v/>
      </c>
      <c r="G35" s="0" t="str">
        <f aca="false">IFERROR(MATCH(34,'Work Master'!$O:$O,0),"")</f>
        <v/>
      </c>
    </row>
    <row r="36" customFormat="false" ht="15" hidden="false" customHeight="false" outlineLevel="0" collapsed="false">
      <c r="A36" s="10" t="str">
        <f aca="false">IF($G36="","",INDEX('Work Master'!$A:$A,$G36))</f>
        <v/>
      </c>
      <c r="B36" s="10" t="str">
        <f aca="false">IF($G36="","",INDEX('Work Master'!$C:$C,$G36))</f>
        <v/>
      </c>
      <c r="C36" s="10" t="str">
        <f aca="false">IF($G36="","",INDEX('Work Master'!$D:$D,$G36))</f>
        <v/>
      </c>
      <c r="D36" s="15" t="str">
        <f aca="false">IF($G36="","",INDEX('Work Master'!$G:$G,$G36))</f>
        <v/>
      </c>
      <c r="E36" s="10" t="str">
        <f aca="false">IF($G36="","",INDEX('Work Master'!$I:$I,$G36))</f>
        <v/>
      </c>
      <c r="G36" s="0" t="str">
        <f aca="false">IFERROR(MATCH(35,'Work Master'!$O:$O,0),"")</f>
        <v/>
      </c>
    </row>
    <row r="37" customFormat="false" ht="15" hidden="false" customHeight="false" outlineLevel="0" collapsed="false">
      <c r="A37" s="10" t="str">
        <f aca="false">IF($G37="","",INDEX('Work Master'!$A:$A,$G37))</f>
        <v/>
      </c>
      <c r="B37" s="10" t="str">
        <f aca="false">IF($G37="","",INDEX('Work Master'!$C:$C,$G37))</f>
        <v/>
      </c>
      <c r="C37" s="10" t="str">
        <f aca="false">IF($G37="","",INDEX('Work Master'!$D:$D,$G37))</f>
        <v/>
      </c>
      <c r="D37" s="15" t="str">
        <f aca="false">IF($G37="","",INDEX('Work Master'!$G:$G,$G37))</f>
        <v/>
      </c>
      <c r="E37" s="10" t="str">
        <f aca="false">IF($G37="","",INDEX('Work Master'!$I:$I,$G37))</f>
        <v/>
      </c>
      <c r="G37" s="0" t="str">
        <f aca="false">IFERROR(MATCH(36,'Work Master'!$O:$O,0),"")</f>
        <v/>
      </c>
    </row>
    <row r="38" customFormat="false" ht="15" hidden="false" customHeight="false" outlineLevel="0" collapsed="false">
      <c r="A38" s="10" t="str">
        <f aca="false">IF($G38="","",INDEX('Work Master'!$A:$A,$G38))</f>
        <v/>
      </c>
      <c r="B38" s="10" t="str">
        <f aca="false">IF($G38="","",INDEX('Work Master'!$C:$C,$G38))</f>
        <v/>
      </c>
      <c r="C38" s="10" t="str">
        <f aca="false">IF($G38="","",INDEX('Work Master'!$D:$D,$G38))</f>
        <v/>
      </c>
      <c r="D38" s="15" t="str">
        <f aca="false">IF($G38="","",INDEX('Work Master'!$G:$G,$G38))</f>
        <v/>
      </c>
      <c r="E38" s="10" t="str">
        <f aca="false">IF($G38="","",INDEX('Work Master'!$I:$I,$G38))</f>
        <v/>
      </c>
      <c r="G38" s="0" t="str">
        <f aca="false">IFERROR(MATCH(37,'Work Master'!$O:$O,0),"")</f>
        <v/>
      </c>
    </row>
    <row r="39" customFormat="false" ht="15" hidden="false" customHeight="false" outlineLevel="0" collapsed="false">
      <c r="A39" s="10" t="str">
        <f aca="false">IF($G39="","",INDEX('Work Master'!$A:$A,$G39))</f>
        <v/>
      </c>
      <c r="B39" s="10" t="str">
        <f aca="false">IF($G39="","",INDEX('Work Master'!$C:$C,$G39))</f>
        <v/>
      </c>
      <c r="C39" s="10" t="str">
        <f aca="false">IF($G39="","",INDEX('Work Master'!$D:$D,$G39))</f>
        <v/>
      </c>
      <c r="D39" s="15" t="str">
        <f aca="false">IF($G39="","",INDEX('Work Master'!$G:$G,$G39))</f>
        <v/>
      </c>
      <c r="E39" s="10" t="str">
        <f aca="false">IF($G39="","",INDEX('Work Master'!$I:$I,$G39))</f>
        <v/>
      </c>
      <c r="G39" s="0" t="str">
        <f aca="false">IFERROR(MATCH(38,'Work Master'!$O:$O,0),"")</f>
        <v/>
      </c>
    </row>
    <row r="40" customFormat="false" ht="15" hidden="false" customHeight="false" outlineLevel="0" collapsed="false">
      <c r="A40" s="10" t="str">
        <f aca="false">IF($G40="","",INDEX('Work Master'!$A:$A,$G40))</f>
        <v/>
      </c>
      <c r="B40" s="10" t="str">
        <f aca="false">IF($G40="","",INDEX('Work Master'!$C:$C,$G40))</f>
        <v/>
      </c>
      <c r="C40" s="10" t="str">
        <f aca="false">IF($G40="","",INDEX('Work Master'!$D:$D,$G40))</f>
        <v/>
      </c>
      <c r="D40" s="15" t="str">
        <f aca="false">IF($G40="","",INDEX('Work Master'!$G:$G,$G40))</f>
        <v/>
      </c>
      <c r="E40" s="10" t="str">
        <f aca="false">IF($G40="","",INDEX('Work Master'!$I:$I,$G40))</f>
        <v/>
      </c>
      <c r="G40" s="0" t="str">
        <f aca="false">IFERROR(MATCH(39,'Work Master'!$O:$O,0),"")</f>
        <v/>
      </c>
    </row>
    <row r="41" customFormat="false" ht="15" hidden="false" customHeight="false" outlineLevel="0" collapsed="false">
      <c r="A41" s="10" t="str">
        <f aca="false">IF($G41="","",INDEX('Work Master'!$A:$A,$G41))</f>
        <v/>
      </c>
      <c r="B41" s="10" t="str">
        <f aca="false">IF($G41="","",INDEX('Work Master'!$C:$C,$G41))</f>
        <v/>
      </c>
      <c r="C41" s="10" t="str">
        <f aca="false">IF($G41="","",INDEX('Work Master'!$D:$D,$G41))</f>
        <v/>
      </c>
      <c r="D41" s="15" t="str">
        <f aca="false">IF($G41="","",INDEX('Work Master'!$G:$G,$G41))</f>
        <v/>
      </c>
      <c r="E41" s="10" t="str">
        <f aca="false">IF($G41="","",INDEX('Work Master'!$I:$I,$G41))</f>
        <v/>
      </c>
      <c r="G41" s="0" t="str">
        <f aca="false">IFERROR(MATCH(40,'Work Master'!$O:$O,0),"")</f>
        <v/>
      </c>
    </row>
    <row r="42" customFormat="false" ht="15" hidden="false" customHeight="false" outlineLevel="0" collapsed="false">
      <c r="A42" s="10" t="str">
        <f aca="false">IF($G42="","",INDEX('Work Master'!$A:$A,$G42))</f>
        <v/>
      </c>
      <c r="B42" s="10" t="str">
        <f aca="false">IF($G42="","",INDEX('Work Master'!$C:$C,$G42))</f>
        <v/>
      </c>
      <c r="C42" s="10" t="str">
        <f aca="false">IF($G42="","",INDEX('Work Master'!$D:$D,$G42))</f>
        <v/>
      </c>
      <c r="D42" s="15" t="str">
        <f aca="false">IF($G42="","",INDEX('Work Master'!$G:$G,$G42))</f>
        <v/>
      </c>
      <c r="E42" s="10" t="str">
        <f aca="false">IF($G42="","",INDEX('Work Master'!$I:$I,$G42))</f>
        <v/>
      </c>
      <c r="G42" s="0" t="str">
        <f aca="false">IFERROR(MATCH(41,'Work Master'!$O:$O,0),"")</f>
        <v/>
      </c>
    </row>
    <row r="43" customFormat="false" ht="15" hidden="false" customHeight="false" outlineLevel="0" collapsed="false">
      <c r="A43" s="10" t="str">
        <f aca="false">IF($G43="","",INDEX('Work Master'!$A:$A,$G43))</f>
        <v/>
      </c>
      <c r="B43" s="10" t="str">
        <f aca="false">IF($G43="","",INDEX('Work Master'!$C:$C,$G43))</f>
        <v/>
      </c>
      <c r="C43" s="10" t="str">
        <f aca="false">IF($G43="","",INDEX('Work Master'!$D:$D,$G43))</f>
        <v/>
      </c>
      <c r="D43" s="15" t="str">
        <f aca="false">IF($G43="","",INDEX('Work Master'!$G:$G,$G43))</f>
        <v/>
      </c>
      <c r="E43" s="10" t="str">
        <f aca="false">IF($G43="","",INDEX('Work Master'!$I:$I,$G43))</f>
        <v/>
      </c>
      <c r="G43" s="0" t="str">
        <f aca="false">IFERROR(MATCH(42,'Work Master'!$O:$O,0),"")</f>
        <v/>
      </c>
    </row>
    <row r="44" customFormat="false" ht="15" hidden="false" customHeight="false" outlineLevel="0" collapsed="false">
      <c r="A44" s="10" t="str">
        <f aca="false">IF($G44="","",INDEX('Work Master'!$A:$A,$G44))</f>
        <v/>
      </c>
      <c r="B44" s="10" t="str">
        <f aca="false">IF($G44="","",INDEX('Work Master'!$C:$C,$G44))</f>
        <v/>
      </c>
      <c r="C44" s="10" t="str">
        <f aca="false">IF($G44="","",INDEX('Work Master'!$D:$D,$G44))</f>
        <v/>
      </c>
      <c r="D44" s="15" t="str">
        <f aca="false">IF($G44="","",INDEX('Work Master'!$G:$G,$G44))</f>
        <v/>
      </c>
      <c r="E44" s="10" t="str">
        <f aca="false">IF($G44="","",INDEX('Work Master'!$I:$I,$G44))</f>
        <v/>
      </c>
      <c r="G44" s="0" t="str">
        <f aca="false">IFERROR(MATCH(43,'Work Master'!$O:$O,0),"")</f>
        <v/>
      </c>
    </row>
    <row r="45" customFormat="false" ht="15" hidden="false" customHeight="false" outlineLevel="0" collapsed="false">
      <c r="A45" s="10" t="str">
        <f aca="false">IF($G45="","",INDEX('Work Master'!$A:$A,$G45))</f>
        <v/>
      </c>
      <c r="B45" s="10" t="str">
        <f aca="false">IF($G45="","",INDEX('Work Master'!$C:$C,$G45))</f>
        <v/>
      </c>
      <c r="C45" s="10" t="str">
        <f aca="false">IF($G45="","",INDEX('Work Master'!$D:$D,$G45))</f>
        <v/>
      </c>
      <c r="D45" s="15" t="str">
        <f aca="false">IF($G45="","",INDEX('Work Master'!$G:$G,$G45))</f>
        <v/>
      </c>
      <c r="E45" s="10" t="str">
        <f aca="false">IF($G45="","",INDEX('Work Master'!$I:$I,$G45))</f>
        <v/>
      </c>
      <c r="G45" s="0" t="str">
        <f aca="false">IFERROR(MATCH(44,'Work Master'!$O:$O,0),"")</f>
        <v/>
      </c>
    </row>
    <row r="46" customFormat="false" ht="15" hidden="false" customHeight="false" outlineLevel="0" collapsed="false">
      <c r="A46" s="10" t="str">
        <f aca="false">IF($G46="","",INDEX('Work Master'!$A:$A,$G46))</f>
        <v/>
      </c>
      <c r="B46" s="10" t="str">
        <f aca="false">IF($G46="","",INDEX('Work Master'!$C:$C,$G46))</f>
        <v/>
      </c>
      <c r="C46" s="10" t="str">
        <f aca="false">IF($G46="","",INDEX('Work Master'!$D:$D,$G46))</f>
        <v/>
      </c>
      <c r="D46" s="15" t="str">
        <f aca="false">IF($G46="","",INDEX('Work Master'!$G:$G,$G46))</f>
        <v/>
      </c>
      <c r="E46" s="10" t="str">
        <f aca="false">IF($G46="","",INDEX('Work Master'!$I:$I,$G46))</f>
        <v/>
      </c>
      <c r="G46" s="0" t="str">
        <f aca="false">IFERROR(MATCH(45,'Work Master'!$O:$O,0),"")</f>
        <v/>
      </c>
    </row>
    <row r="47" customFormat="false" ht="15" hidden="false" customHeight="false" outlineLevel="0" collapsed="false">
      <c r="A47" s="10" t="str">
        <f aca="false">IF($G47="","",INDEX('Work Master'!$A:$A,$G47))</f>
        <v/>
      </c>
      <c r="B47" s="10" t="str">
        <f aca="false">IF($G47="","",INDEX('Work Master'!$C:$C,$G47))</f>
        <v/>
      </c>
      <c r="C47" s="10" t="str">
        <f aca="false">IF($G47="","",INDEX('Work Master'!$D:$D,$G47))</f>
        <v/>
      </c>
      <c r="D47" s="15" t="str">
        <f aca="false">IF($G47="","",INDEX('Work Master'!$G:$G,$G47))</f>
        <v/>
      </c>
      <c r="E47" s="10" t="str">
        <f aca="false">IF($G47="","",INDEX('Work Master'!$I:$I,$G47))</f>
        <v/>
      </c>
      <c r="G47" s="0" t="str">
        <f aca="false">IFERROR(MATCH(46,'Work Master'!$O:$O,0),"")</f>
        <v/>
      </c>
    </row>
    <row r="48" customFormat="false" ht="15" hidden="false" customHeight="false" outlineLevel="0" collapsed="false">
      <c r="A48" s="10" t="str">
        <f aca="false">IF($G48="","",INDEX('Work Master'!$A:$A,$G48))</f>
        <v/>
      </c>
      <c r="B48" s="10" t="str">
        <f aca="false">IF($G48="","",INDEX('Work Master'!$C:$C,$G48))</f>
        <v/>
      </c>
      <c r="C48" s="10" t="str">
        <f aca="false">IF($G48="","",INDEX('Work Master'!$D:$D,$G48))</f>
        <v/>
      </c>
      <c r="D48" s="15" t="str">
        <f aca="false">IF($G48="","",INDEX('Work Master'!$G:$G,$G48))</f>
        <v/>
      </c>
      <c r="E48" s="10" t="str">
        <f aca="false">IF($G48="","",INDEX('Work Master'!$I:$I,$G48))</f>
        <v/>
      </c>
      <c r="G48" s="0" t="str">
        <f aca="false">IFERROR(MATCH(47,'Work Master'!$O:$O,0),"")</f>
        <v/>
      </c>
    </row>
    <row r="49" customFormat="false" ht="15" hidden="false" customHeight="false" outlineLevel="0" collapsed="false">
      <c r="A49" s="10" t="str">
        <f aca="false">IF($G49="","",INDEX('Work Master'!$A:$A,$G49))</f>
        <v/>
      </c>
      <c r="B49" s="10" t="str">
        <f aca="false">IF($G49="","",INDEX('Work Master'!$C:$C,$G49))</f>
        <v/>
      </c>
      <c r="C49" s="10" t="str">
        <f aca="false">IF($G49="","",INDEX('Work Master'!$D:$D,$G49))</f>
        <v/>
      </c>
      <c r="D49" s="15" t="str">
        <f aca="false">IF($G49="","",INDEX('Work Master'!$G:$G,$G49))</f>
        <v/>
      </c>
      <c r="E49" s="10" t="str">
        <f aca="false">IF($G49="","",INDEX('Work Master'!$I:$I,$G49))</f>
        <v/>
      </c>
      <c r="G49" s="0" t="str">
        <f aca="false">IFERROR(MATCH(48,'Work Master'!$O:$O,0),"")</f>
        <v/>
      </c>
    </row>
    <row r="50" customFormat="false" ht="15" hidden="false" customHeight="false" outlineLevel="0" collapsed="false">
      <c r="A50" s="10" t="str">
        <f aca="false">IF($G50="","",INDEX('Work Master'!$A:$A,$G50))</f>
        <v/>
      </c>
      <c r="B50" s="10" t="str">
        <f aca="false">IF($G50="","",INDEX('Work Master'!$C:$C,$G50))</f>
        <v/>
      </c>
      <c r="C50" s="10" t="str">
        <f aca="false">IF($G50="","",INDEX('Work Master'!$D:$D,$G50))</f>
        <v/>
      </c>
      <c r="D50" s="15" t="str">
        <f aca="false">IF($G50="","",INDEX('Work Master'!$G:$G,$G50))</f>
        <v/>
      </c>
      <c r="E50" s="10" t="str">
        <f aca="false">IF($G50="","",INDEX('Work Master'!$I:$I,$G50))</f>
        <v/>
      </c>
      <c r="G50" s="0" t="str">
        <f aca="false">IFERROR(MATCH(49,'Work Master'!$O:$O,0),"")</f>
        <v/>
      </c>
    </row>
    <row r="51" customFormat="false" ht="15" hidden="false" customHeight="false" outlineLevel="0" collapsed="false">
      <c r="A51" s="10" t="str">
        <f aca="false">IF($G51="","",INDEX('Work Master'!$A:$A,$G51))</f>
        <v/>
      </c>
      <c r="B51" s="10" t="str">
        <f aca="false">IF($G51="","",INDEX('Work Master'!$C:$C,$G51))</f>
        <v/>
      </c>
      <c r="C51" s="10" t="str">
        <f aca="false">IF($G51="","",INDEX('Work Master'!$D:$D,$G51))</f>
        <v/>
      </c>
      <c r="D51" s="15" t="str">
        <f aca="false">IF($G51="","",INDEX('Work Master'!$G:$G,$G51))</f>
        <v/>
      </c>
      <c r="E51" s="10" t="str">
        <f aca="false">IF($G51="","",INDEX('Work Master'!$I:$I,$G51))</f>
        <v/>
      </c>
      <c r="G51" s="0" t="str">
        <f aca="false">IFERROR(MATCH(50,'Work Master'!$O:$O,0),"")</f>
        <v/>
      </c>
    </row>
    <row r="52" customFormat="false" ht="15" hidden="false" customHeight="false" outlineLevel="0" collapsed="false">
      <c r="A52" s="10" t="str">
        <f aca="false">IF($G52="","",INDEX('Work Master'!$A:$A,$G52))</f>
        <v/>
      </c>
      <c r="B52" s="10" t="str">
        <f aca="false">IF($G52="","",INDEX('Work Master'!$C:$C,$G52))</f>
        <v/>
      </c>
      <c r="C52" s="10" t="str">
        <f aca="false">IF($G52="","",INDEX('Work Master'!$D:$D,$G52))</f>
        <v/>
      </c>
      <c r="D52" s="15" t="str">
        <f aca="false">IF($G52="","",INDEX('Work Master'!$G:$G,$G52))</f>
        <v/>
      </c>
      <c r="E52" s="10" t="str">
        <f aca="false">IF($G52="","",INDEX('Work Master'!$I:$I,$G52))</f>
        <v/>
      </c>
      <c r="G52" s="0" t="str">
        <f aca="false">IFERROR(MATCH(51,'Work Master'!$O:$O,0),"")</f>
        <v/>
      </c>
    </row>
    <row r="53" customFormat="false" ht="15" hidden="false" customHeight="false" outlineLevel="0" collapsed="false">
      <c r="A53" s="10" t="str">
        <f aca="false">IF($G53="","",INDEX('Work Master'!$A:$A,$G53))</f>
        <v/>
      </c>
      <c r="B53" s="10" t="str">
        <f aca="false">IF($G53="","",INDEX('Work Master'!$C:$C,$G53))</f>
        <v/>
      </c>
      <c r="C53" s="10" t="str">
        <f aca="false">IF($G53="","",INDEX('Work Master'!$D:$D,$G53))</f>
        <v/>
      </c>
      <c r="D53" s="15" t="str">
        <f aca="false">IF($G53="","",INDEX('Work Master'!$G:$G,$G53))</f>
        <v/>
      </c>
      <c r="E53" s="10" t="str">
        <f aca="false">IF($G53="","",INDEX('Work Master'!$I:$I,$G53))</f>
        <v/>
      </c>
      <c r="G53" s="0" t="str">
        <f aca="false">IFERROR(MATCH(52,'Work Master'!$O:$O,0),"")</f>
        <v/>
      </c>
    </row>
    <row r="54" customFormat="false" ht="15" hidden="false" customHeight="false" outlineLevel="0" collapsed="false">
      <c r="A54" s="10" t="str">
        <f aca="false">IF($G54="","",INDEX('Work Master'!$A:$A,$G54))</f>
        <v/>
      </c>
      <c r="B54" s="10" t="str">
        <f aca="false">IF($G54="","",INDEX('Work Master'!$C:$C,$G54))</f>
        <v/>
      </c>
      <c r="C54" s="10" t="str">
        <f aca="false">IF($G54="","",INDEX('Work Master'!$D:$D,$G54))</f>
        <v/>
      </c>
      <c r="D54" s="15" t="str">
        <f aca="false">IF($G54="","",INDEX('Work Master'!$G:$G,$G54))</f>
        <v/>
      </c>
      <c r="E54" s="10" t="str">
        <f aca="false">IF($G54="","",INDEX('Work Master'!$I:$I,$G54))</f>
        <v/>
      </c>
      <c r="G54" s="0" t="str">
        <f aca="false">IFERROR(MATCH(53,'Work Master'!$O:$O,0),"")</f>
        <v/>
      </c>
    </row>
    <row r="55" customFormat="false" ht="15" hidden="false" customHeight="false" outlineLevel="0" collapsed="false">
      <c r="A55" s="10" t="str">
        <f aca="false">IF($G55="","",INDEX('Work Master'!$A:$A,$G55))</f>
        <v/>
      </c>
      <c r="B55" s="10" t="str">
        <f aca="false">IF($G55="","",INDEX('Work Master'!$C:$C,$G55))</f>
        <v/>
      </c>
      <c r="C55" s="10" t="str">
        <f aca="false">IF($G55="","",INDEX('Work Master'!$D:$D,$G55))</f>
        <v/>
      </c>
      <c r="D55" s="15" t="str">
        <f aca="false">IF($G55="","",INDEX('Work Master'!$G:$G,$G55))</f>
        <v/>
      </c>
      <c r="E55" s="10" t="str">
        <f aca="false">IF($G55="","",INDEX('Work Master'!$I:$I,$G55))</f>
        <v/>
      </c>
      <c r="G55" s="0" t="str">
        <f aca="false">IFERROR(MATCH(54,'Work Master'!$O:$O,0),"")</f>
        <v/>
      </c>
    </row>
    <row r="56" customFormat="false" ht="15" hidden="false" customHeight="false" outlineLevel="0" collapsed="false">
      <c r="A56" s="10" t="str">
        <f aca="false">IF($G56="","",INDEX('Work Master'!$A:$A,$G56))</f>
        <v/>
      </c>
      <c r="B56" s="10" t="str">
        <f aca="false">IF($G56="","",INDEX('Work Master'!$C:$C,$G56))</f>
        <v/>
      </c>
      <c r="C56" s="10" t="str">
        <f aca="false">IF($G56="","",INDEX('Work Master'!$D:$D,$G56))</f>
        <v/>
      </c>
      <c r="D56" s="15" t="str">
        <f aca="false">IF($G56="","",INDEX('Work Master'!$G:$G,$G56))</f>
        <v/>
      </c>
      <c r="E56" s="10" t="str">
        <f aca="false">IF($G56="","",INDEX('Work Master'!$I:$I,$G56))</f>
        <v/>
      </c>
      <c r="G56" s="0" t="str">
        <f aca="false">IFERROR(MATCH(55,'Work Master'!$O:$O,0),"")</f>
        <v/>
      </c>
    </row>
    <row r="57" customFormat="false" ht="15" hidden="false" customHeight="false" outlineLevel="0" collapsed="false">
      <c r="A57" s="10" t="str">
        <f aca="false">IF($G57="","",INDEX('Work Master'!$A:$A,$G57))</f>
        <v/>
      </c>
      <c r="B57" s="10" t="str">
        <f aca="false">IF($G57="","",INDEX('Work Master'!$C:$C,$G57))</f>
        <v/>
      </c>
      <c r="C57" s="10" t="str">
        <f aca="false">IF($G57="","",INDEX('Work Master'!$D:$D,$G57))</f>
        <v/>
      </c>
      <c r="D57" s="15" t="str">
        <f aca="false">IF($G57="","",INDEX('Work Master'!$G:$G,$G57))</f>
        <v/>
      </c>
      <c r="E57" s="10" t="str">
        <f aca="false">IF($G57="","",INDEX('Work Master'!$I:$I,$G57))</f>
        <v/>
      </c>
      <c r="G57" s="0" t="str">
        <f aca="false">IFERROR(MATCH(56,'Work Master'!$O:$O,0),"")</f>
        <v/>
      </c>
    </row>
    <row r="58" customFormat="false" ht="15" hidden="false" customHeight="false" outlineLevel="0" collapsed="false">
      <c r="A58" s="10" t="str">
        <f aca="false">IF($G58="","",INDEX('Work Master'!$A:$A,$G58))</f>
        <v/>
      </c>
      <c r="B58" s="10" t="str">
        <f aca="false">IF($G58="","",INDEX('Work Master'!$C:$C,$G58))</f>
        <v/>
      </c>
      <c r="C58" s="10" t="str">
        <f aca="false">IF($G58="","",INDEX('Work Master'!$D:$D,$G58))</f>
        <v/>
      </c>
      <c r="D58" s="15" t="str">
        <f aca="false">IF($G58="","",INDEX('Work Master'!$G:$G,$G58))</f>
        <v/>
      </c>
      <c r="E58" s="10" t="str">
        <f aca="false">IF($G58="","",INDEX('Work Master'!$I:$I,$G58))</f>
        <v/>
      </c>
      <c r="G58" s="0" t="str">
        <f aca="false">IFERROR(MATCH(57,'Work Master'!$O:$O,0),"")</f>
        <v/>
      </c>
    </row>
    <row r="59" customFormat="false" ht="15" hidden="false" customHeight="false" outlineLevel="0" collapsed="false">
      <c r="A59" s="10" t="str">
        <f aca="false">IF($G59="","",INDEX('Work Master'!$A:$A,$G59))</f>
        <v/>
      </c>
      <c r="B59" s="10" t="str">
        <f aca="false">IF($G59="","",INDEX('Work Master'!$C:$C,$G59))</f>
        <v/>
      </c>
      <c r="C59" s="10" t="str">
        <f aca="false">IF($G59="","",INDEX('Work Master'!$D:$D,$G59))</f>
        <v/>
      </c>
      <c r="D59" s="15" t="str">
        <f aca="false">IF($G59="","",INDEX('Work Master'!$G:$G,$G59))</f>
        <v/>
      </c>
      <c r="E59" s="10" t="str">
        <f aca="false">IF($G59="","",INDEX('Work Master'!$I:$I,$G59))</f>
        <v/>
      </c>
      <c r="G59" s="0" t="str">
        <f aca="false">IFERROR(MATCH(58,'Work Master'!$O:$O,0),"")</f>
        <v/>
      </c>
    </row>
    <row r="60" customFormat="false" ht="15" hidden="false" customHeight="false" outlineLevel="0" collapsed="false">
      <c r="A60" s="10" t="str">
        <f aca="false">IF($G60="","",INDEX('Work Master'!$A:$A,$G60))</f>
        <v/>
      </c>
      <c r="B60" s="10" t="str">
        <f aca="false">IF($G60="","",INDEX('Work Master'!$C:$C,$G60))</f>
        <v/>
      </c>
      <c r="C60" s="10" t="str">
        <f aca="false">IF($G60="","",INDEX('Work Master'!$D:$D,$G60))</f>
        <v/>
      </c>
      <c r="D60" s="15" t="str">
        <f aca="false">IF($G60="","",INDEX('Work Master'!$G:$G,$G60))</f>
        <v/>
      </c>
      <c r="E60" s="10" t="str">
        <f aca="false">IF($G60="","",INDEX('Work Master'!$I:$I,$G60))</f>
        <v/>
      </c>
      <c r="G60" s="0" t="str">
        <f aca="false">IFERROR(MATCH(59,'Work Master'!$O:$O,0),"")</f>
        <v/>
      </c>
    </row>
    <row r="61" customFormat="false" ht="15" hidden="false" customHeight="false" outlineLevel="0" collapsed="false">
      <c r="A61" s="10" t="str">
        <f aca="false">IF($G61="","",INDEX('Work Master'!$A:$A,$G61))</f>
        <v/>
      </c>
      <c r="B61" s="10" t="str">
        <f aca="false">IF($G61="","",INDEX('Work Master'!$C:$C,$G61))</f>
        <v/>
      </c>
      <c r="C61" s="10" t="str">
        <f aca="false">IF($G61="","",INDEX('Work Master'!$D:$D,$G61))</f>
        <v/>
      </c>
      <c r="D61" s="15" t="str">
        <f aca="false">IF($G61="","",INDEX('Work Master'!$G:$G,$G61))</f>
        <v/>
      </c>
      <c r="E61" s="10" t="str">
        <f aca="false">IF($G61="","",INDEX('Work Master'!$I:$I,$G61))</f>
        <v/>
      </c>
      <c r="G61" s="0" t="str">
        <f aca="false">IFERROR(MATCH(60,'Work Master'!$O:$O,0),"")</f>
        <v/>
      </c>
    </row>
    <row r="62" customFormat="false" ht="15" hidden="false" customHeight="false" outlineLevel="0" collapsed="false">
      <c r="A62" s="10" t="str">
        <f aca="false">IF($G62="","",INDEX('Work Master'!$A:$A,$G62))</f>
        <v/>
      </c>
      <c r="B62" s="10" t="str">
        <f aca="false">IF($G62="","",INDEX('Work Master'!$C:$C,$G62))</f>
        <v/>
      </c>
      <c r="C62" s="10" t="str">
        <f aca="false">IF($G62="","",INDEX('Work Master'!$D:$D,$G62))</f>
        <v/>
      </c>
      <c r="D62" s="15" t="str">
        <f aca="false">IF($G62="","",INDEX('Work Master'!$G:$G,$G62))</f>
        <v/>
      </c>
      <c r="E62" s="10" t="str">
        <f aca="false">IF($G62="","",INDEX('Work Master'!$I:$I,$G62))</f>
        <v/>
      </c>
      <c r="G62" s="0" t="str">
        <f aca="false">IFERROR(MATCH(61,'Work Master'!$O:$O,0),"")</f>
        <v/>
      </c>
    </row>
    <row r="63" customFormat="false" ht="15" hidden="false" customHeight="false" outlineLevel="0" collapsed="false">
      <c r="A63" s="10" t="str">
        <f aca="false">IF($G63="","",INDEX('Work Master'!$A:$A,$G63))</f>
        <v/>
      </c>
      <c r="B63" s="10" t="str">
        <f aca="false">IF($G63="","",INDEX('Work Master'!$C:$C,$G63))</f>
        <v/>
      </c>
      <c r="C63" s="10" t="str">
        <f aca="false">IF($G63="","",INDEX('Work Master'!$D:$D,$G63))</f>
        <v/>
      </c>
      <c r="D63" s="15" t="str">
        <f aca="false">IF($G63="","",INDEX('Work Master'!$G:$G,$G63))</f>
        <v/>
      </c>
      <c r="E63" s="10" t="str">
        <f aca="false">IF($G63="","",INDEX('Work Master'!$I:$I,$G63))</f>
        <v/>
      </c>
      <c r="G63" s="0" t="str">
        <f aca="false">IFERROR(MATCH(62,'Work Master'!$O:$O,0),"")</f>
        <v/>
      </c>
    </row>
    <row r="64" customFormat="false" ht="15" hidden="false" customHeight="false" outlineLevel="0" collapsed="false">
      <c r="A64" s="10" t="str">
        <f aca="false">IF($G64="","",INDEX('Work Master'!$A:$A,$G64))</f>
        <v/>
      </c>
      <c r="B64" s="10" t="str">
        <f aca="false">IF($G64="","",INDEX('Work Master'!$C:$C,$G64))</f>
        <v/>
      </c>
      <c r="C64" s="10" t="str">
        <f aca="false">IF($G64="","",INDEX('Work Master'!$D:$D,$G64))</f>
        <v/>
      </c>
      <c r="D64" s="15" t="str">
        <f aca="false">IF($G64="","",INDEX('Work Master'!$G:$G,$G64))</f>
        <v/>
      </c>
      <c r="E64" s="10" t="str">
        <f aca="false">IF($G64="","",INDEX('Work Master'!$I:$I,$G64))</f>
        <v/>
      </c>
      <c r="G64" s="0" t="str">
        <f aca="false">IFERROR(MATCH(63,'Work Master'!$O:$O,0),"")</f>
        <v/>
      </c>
    </row>
    <row r="65" customFormat="false" ht="15" hidden="false" customHeight="false" outlineLevel="0" collapsed="false">
      <c r="A65" s="10" t="str">
        <f aca="false">IF($G65="","",INDEX('Work Master'!$A:$A,$G65))</f>
        <v/>
      </c>
      <c r="B65" s="10" t="str">
        <f aca="false">IF($G65="","",INDEX('Work Master'!$C:$C,$G65))</f>
        <v/>
      </c>
      <c r="C65" s="10" t="str">
        <f aca="false">IF($G65="","",INDEX('Work Master'!$D:$D,$G65))</f>
        <v/>
      </c>
      <c r="D65" s="15" t="str">
        <f aca="false">IF($G65="","",INDEX('Work Master'!$G:$G,$G65))</f>
        <v/>
      </c>
      <c r="E65" s="10" t="str">
        <f aca="false">IF($G65="","",INDEX('Work Master'!$I:$I,$G65))</f>
        <v/>
      </c>
      <c r="G65" s="0" t="str">
        <f aca="false">IFERROR(MATCH(64,'Work Master'!$O:$O,0),"")</f>
        <v/>
      </c>
    </row>
    <row r="66" customFormat="false" ht="15" hidden="false" customHeight="false" outlineLevel="0" collapsed="false">
      <c r="A66" s="10" t="str">
        <f aca="false">IF($G66="","",INDEX('Work Master'!$A:$A,$G66))</f>
        <v/>
      </c>
      <c r="B66" s="10" t="str">
        <f aca="false">IF($G66="","",INDEX('Work Master'!$C:$C,$G66))</f>
        <v/>
      </c>
      <c r="C66" s="10" t="str">
        <f aca="false">IF($G66="","",INDEX('Work Master'!$D:$D,$G66))</f>
        <v/>
      </c>
      <c r="D66" s="15" t="str">
        <f aca="false">IF($G66="","",INDEX('Work Master'!$G:$G,$G66))</f>
        <v/>
      </c>
      <c r="E66" s="10" t="str">
        <f aca="false">IF($G66="","",INDEX('Work Master'!$I:$I,$G66))</f>
        <v/>
      </c>
      <c r="G66" s="0" t="str">
        <f aca="false">IFERROR(MATCH(65,'Work Master'!$O:$O,0),"")</f>
        <v/>
      </c>
    </row>
    <row r="67" customFormat="false" ht="15" hidden="false" customHeight="false" outlineLevel="0" collapsed="false">
      <c r="A67" s="10" t="str">
        <f aca="false">IF($G67="","",INDEX('Work Master'!$A:$A,$G67))</f>
        <v/>
      </c>
      <c r="B67" s="10" t="str">
        <f aca="false">IF($G67="","",INDEX('Work Master'!$C:$C,$G67))</f>
        <v/>
      </c>
      <c r="C67" s="10" t="str">
        <f aca="false">IF($G67="","",INDEX('Work Master'!$D:$D,$G67))</f>
        <v/>
      </c>
      <c r="D67" s="15" t="str">
        <f aca="false">IF($G67="","",INDEX('Work Master'!$G:$G,$G67))</f>
        <v/>
      </c>
      <c r="E67" s="10" t="str">
        <f aca="false">IF($G67="","",INDEX('Work Master'!$I:$I,$G67))</f>
        <v/>
      </c>
      <c r="G67" s="0" t="str">
        <f aca="false">IFERROR(MATCH(66,'Work Master'!$O:$O,0),"")</f>
        <v/>
      </c>
    </row>
    <row r="68" customFormat="false" ht="15" hidden="false" customHeight="false" outlineLevel="0" collapsed="false">
      <c r="A68" s="10" t="str">
        <f aca="false">IF($G68="","",INDEX('Work Master'!$A:$A,$G68))</f>
        <v/>
      </c>
      <c r="B68" s="10" t="str">
        <f aca="false">IF($G68="","",INDEX('Work Master'!$C:$C,$G68))</f>
        <v/>
      </c>
      <c r="C68" s="10" t="str">
        <f aca="false">IF($G68="","",INDEX('Work Master'!$D:$D,$G68))</f>
        <v/>
      </c>
      <c r="D68" s="15" t="str">
        <f aca="false">IF($G68="","",INDEX('Work Master'!$G:$G,$G68))</f>
        <v/>
      </c>
      <c r="E68" s="10" t="str">
        <f aca="false">IF($G68="","",INDEX('Work Master'!$I:$I,$G68))</f>
        <v/>
      </c>
      <c r="G68" s="0" t="str">
        <f aca="false">IFERROR(MATCH(67,'Work Master'!$O:$O,0),"")</f>
        <v/>
      </c>
    </row>
    <row r="69" customFormat="false" ht="15" hidden="false" customHeight="false" outlineLevel="0" collapsed="false">
      <c r="A69" s="10" t="str">
        <f aca="false">IF($G69="","",INDEX('Work Master'!$A:$A,$G69))</f>
        <v/>
      </c>
      <c r="B69" s="10" t="str">
        <f aca="false">IF($G69="","",INDEX('Work Master'!$C:$C,$G69))</f>
        <v/>
      </c>
      <c r="C69" s="10" t="str">
        <f aca="false">IF($G69="","",INDEX('Work Master'!$D:$D,$G69))</f>
        <v/>
      </c>
      <c r="D69" s="15" t="str">
        <f aca="false">IF($G69="","",INDEX('Work Master'!$G:$G,$G69))</f>
        <v/>
      </c>
      <c r="E69" s="10" t="str">
        <f aca="false">IF($G69="","",INDEX('Work Master'!$I:$I,$G69))</f>
        <v/>
      </c>
      <c r="G69" s="0" t="str">
        <f aca="false">IFERROR(MATCH(68,'Work Master'!$O:$O,0),"")</f>
        <v/>
      </c>
    </row>
    <row r="70" customFormat="false" ht="15" hidden="false" customHeight="false" outlineLevel="0" collapsed="false">
      <c r="A70" s="10" t="str">
        <f aca="false">IF($G70="","",INDEX('Work Master'!$A:$A,$G70))</f>
        <v/>
      </c>
      <c r="B70" s="10" t="str">
        <f aca="false">IF($G70="","",INDEX('Work Master'!$C:$C,$G70))</f>
        <v/>
      </c>
      <c r="C70" s="10" t="str">
        <f aca="false">IF($G70="","",INDEX('Work Master'!$D:$D,$G70))</f>
        <v/>
      </c>
      <c r="D70" s="15" t="str">
        <f aca="false">IF($G70="","",INDEX('Work Master'!$G:$G,$G70))</f>
        <v/>
      </c>
      <c r="E70" s="10" t="str">
        <f aca="false">IF($G70="","",INDEX('Work Master'!$I:$I,$G70))</f>
        <v/>
      </c>
      <c r="G70" s="0" t="str">
        <f aca="false">IFERROR(MATCH(69,'Work Master'!$O:$O,0),"")</f>
        <v/>
      </c>
    </row>
    <row r="71" customFormat="false" ht="15" hidden="false" customHeight="false" outlineLevel="0" collapsed="false">
      <c r="A71" s="10" t="str">
        <f aca="false">IF($G71="","",INDEX('Work Master'!$A:$A,$G71))</f>
        <v/>
      </c>
      <c r="B71" s="10" t="str">
        <f aca="false">IF($G71="","",INDEX('Work Master'!$C:$C,$G71))</f>
        <v/>
      </c>
      <c r="C71" s="10" t="str">
        <f aca="false">IF($G71="","",INDEX('Work Master'!$D:$D,$G71))</f>
        <v/>
      </c>
      <c r="D71" s="15" t="str">
        <f aca="false">IF($G71="","",INDEX('Work Master'!$G:$G,$G71))</f>
        <v/>
      </c>
      <c r="E71" s="10" t="str">
        <f aca="false">IF($G71="","",INDEX('Work Master'!$I:$I,$G71))</f>
        <v/>
      </c>
      <c r="G71" s="0" t="str">
        <f aca="false">IFERROR(MATCH(70,'Work Master'!$O:$O,0),"")</f>
        <v/>
      </c>
    </row>
    <row r="72" customFormat="false" ht="15" hidden="false" customHeight="false" outlineLevel="0" collapsed="false">
      <c r="A72" s="10" t="str">
        <f aca="false">IF($G72="","",INDEX('Work Master'!$A:$A,$G72))</f>
        <v/>
      </c>
      <c r="B72" s="10" t="str">
        <f aca="false">IF($G72="","",INDEX('Work Master'!$C:$C,$G72))</f>
        <v/>
      </c>
      <c r="C72" s="10" t="str">
        <f aca="false">IF($G72="","",INDEX('Work Master'!$D:$D,$G72))</f>
        <v/>
      </c>
      <c r="D72" s="15" t="str">
        <f aca="false">IF($G72="","",INDEX('Work Master'!$G:$G,$G72))</f>
        <v/>
      </c>
      <c r="E72" s="10" t="str">
        <f aca="false">IF($G72="","",INDEX('Work Master'!$I:$I,$G72))</f>
        <v/>
      </c>
      <c r="G72" s="0" t="str">
        <f aca="false">IFERROR(MATCH(71,'Work Master'!$O:$O,0),"")</f>
        <v/>
      </c>
    </row>
    <row r="73" customFormat="false" ht="15" hidden="false" customHeight="false" outlineLevel="0" collapsed="false">
      <c r="A73" s="10" t="str">
        <f aca="false">IF($G73="","",INDEX('Work Master'!$A:$A,$G73))</f>
        <v/>
      </c>
      <c r="B73" s="10" t="str">
        <f aca="false">IF($G73="","",INDEX('Work Master'!$C:$C,$G73))</f>
        <v/>
      </c>
      <c r="C73" s="10" t="str">
        <f aca="false">IF($G73="","",INDEX('Work Master'!$D:$D,$G73))</f>
        <v/>
      </c>
      <c r="D73" s="15" t="str">
        <f aca="false">IF($G73="","",INDEX('Work Master'!$G:$G,$G73))</f>
        <v/>
      </c>
      <c r="E73" s="10" t="str">
        <f aca="false">IF($G73="","",INDEX('Work Master'!$I:$I,$G73))</f>
        <v/>
      </c>
      <c r="G73" s="0" t="str">
        <f aca="false">IFERROR(MATCH(72,'Work Master'!$O:$O,0),"")</f>
        <v/>
      </c>
    </row>
    <row r="74" customFormat="false" ht="15" hidden="false" customHeight="false" outlineLevel="0" collapsed="false">
      <c r="A74" s="10" t="str">
        <f aca="false">IF($G74="","",INDEX('Work Master'!$A:$A,$G74))</f>
        <v/>
      </c>
      <c r="B74" s="10" t="str">
        <f aca="false">IF($G74="","",INDEX('Work Master'!$C:$C,$G74))</f>
        <v/>
      </c>
      <c r="C74" s="10" t="str">
        <f aca="false">IF($G74="","",INDEX('Work Master'!$D:$D,$G74))</f>
        <v/>
      </c>
      <c r="D74" s="15" t="str">
        <f aca="false">IF($G74="","",INDEX('Work Master'!$G:$G,$G74))</f>
        <v/>
      </c>
      <c r="E74" s="10" t="str">
        <f aca="false">IF($G74="","",INDEX('Work Master'!$I:$I,$G74))</f>
        <v/>
      </c>
      <c r="G74" s="0" t="str">
        <f aca="false">IFERROR(MATCH(73,'Work Master'!$O:$O,0),"")</f>
        <v/>
      </c>
    </row>
    <row r="75" customFormat="false" ht="15" hidden="false" customHeight="false" outlineLevel="0" collapsed="false">
      <c r="A75" s="10" t="str">
        <f aca="false">IF($G75="","",INDEX('Work Master'!$A:$A,$G75))</f>
        <v/>
      </c>
      <c r="B75" s="10" t="str">
        <f aca="false">IF($G75="","",INDEX('Work Master'!$C:$C,$G75))</f>
        <v/>
      </c>
      <c r="C75" s="10" t="str">
        <f aca="false">IF($G75="","",INDEX('Work Master'!$D:$D,$G75))</f>
        <v/>
      </c>
      <c r="D75" s="15" t="str">
        <f aca="false">IF($G75="","",INDEX('Work Master'!$G:$G,$G75))</f>
        <v/>
      </c>
      <c r="E75" s="10" t="str">
        <f aca="false">IF($G75="","",INDEX('Work Master'!$I:$I,$G75))</f>
        <v/>
      </c>
      <c r="G75" s="0" t="str">
        <f aca="false">IFERROR(MATCH(74,'Work Master'!$O:$O,0),"")</f>
        <v/>
      </c>
    </row>
    <row r="76" customFormat="false" ht="15" hidden="false" customHeight="false" outlineLevel="0" collapsed="false">
      <c r="A76" s="10" t="str">
        <f aca="false">IF($G76="","",INDEX('Work Master'!$A:$A,$G76))</f>
        <v/>
      </c>
      <c r="B76" s="10" t="str">
        <f aca="false">IF($G76="","",INDEX('Work Master'!$C:$C,$G76))</f>
        <v/>
      </c>
      <c r="C76" s="10" t="str">
        <f aca="false">IF($G76="","",INDEX('Work Master'!$D:$D,$G76))</f>
        <v/>
      </c>
      <c r="D76" s="15" t="str">
        <f aca="false">IF($G76="","",INDEX('Work Master'!$G:$G,$G76))</f>
        <v/>
      </c>
      <c r="E76" s="10" t="str">
        <f aca="false">IF($G76="","",INDEX('Work Master'!$I:$I,$G76))</f>
        <v/>
      </c>
      <c r="G76" s="0" t="str">
        <f aca="false">IFERROR(MATCH(75,'Work Master'!$O:$O,0),"")</f>
        <v/>
      </c>
    </row>
    <row r="77" customFormat="false" ht="15" hidden="false" customHeight="false" outlineLevel="0" collapsed="false">
      <c r="A77" s="10" t="str">
        <f aca="false">IF($G77="","",INDEX('Work Master'!$A:$A,$G77))</f>
        <v/>
      </c>
      <c r="B77" s="10" t="str">
        <f aca="false">IF($G77="","",INDEX('Work Master'!$C:$C,$G77))</f>
        <v/>
      </c>
      <c r="C77" s="10" t="str">
        <f aca="false">IF($G77="","",INDEX('Work Master'!$D:$D,$G77))</f>
        <v/>
      </c>
      <c r="D77" s="15" t="str">
        <f aca="false">IF($G77="","",INDEX('Work Master'!$G:$G,$G77))</f>
        <v/>
      </c>
      <c r="E77" s="10" t="str">
        <f aca="false">IF($G77="","",INDEX('Work Master'!$I:$I,$G77))</f>
        <v/>
      </c>
      <c r="G77" s="0" t="str">
        <f aca="false">IFERROR(MATCH(76,'Work Master'!$O:$O,0),"")</f>
        <v/>
      </c>
    </row>
    <row r="78" customFormat="false" ht="15" hidden="false" customHeight="false" outlineLevel="0" collapsed="false">
      <c r="A78" s="10" t="str">
        <f aca="false">IF($G78="","",INDEX('Work Master'!$A:$A,$G78))</f>
        <v/>
      </c>
      <c r="B78" s="10" t="str">
        <f aca="false">IF($G78="","",INDEX('Work Master'!$C:$C,$G78))</f>
        <v/>
      </c>
      <c r="C78" s="10" t="str">
        <f aca="false">IF($G78="","",INDEX('Work Master'!$D:$D,$G78))</f>
        <v/>
      </c>
      <c r="D78" s="15" t="str">
        <f aca="false">IF($G78="","",INDEX('Work Master'!$G:$G,$G78))</f>
        <v/>
      </c>
      <c r="E78" s="10" t="str">
        <f aca="false">IF($G78="","",INDEX('Work Master'!$I:$I,$G78))</f>
        <v/>
      </c>
      <c r="G78" s="0" t="str">
        <f aca="false">IFERROR(MATCH(77,'Work Master'!$O:$O,0),"")</f>
        <v/>
      </c>
    </row>
    <row r="79" customFormat="false" ht="15" hidden="false" customHeight="false" outlineLevel="0" collapsed="false">
      <c r="A79" s="10" t="str">
        <f aca="false">IF($G79="","",INDEX('Work Master'!$A:$A,$G79))</f>
        <v/>
      </c>
      <c r="B79" s="10" t="str">
        <f aca="false">IF($G79="","",INDEX('Work Master'!$C:$C,$G79))</f>
        <v/>
      </c>
      <c r="C79" s="10" t="str">
        <f aca="false">IF($G79="","",INDEX('Work Master'!$D:$D,$G79))</f>
        <v/>
      </c>
      <c r="D79" s="15" t="str">
        <f aca="false">IF($G79="","",INDEX('Work Master'!$G:$G,$G79))</f>
        <v/>
      </c>
      <c r="E79" s="10" t="str">
        <f aca="false">IF($G79="","",INDEX('Work Master'!$I:$I,$G79))</f>
        <v/>
      </c>
      <c r="G79" s="0" t="str">
        <f aca="false">IFERROR(MATCH(78,'Work Master'!$O:$O,0),"")</f>
        <v/>
      </c>
    </row>
    <row r="80" customFormat="false" ht="15" hidden="false" customHeight="false" outlineLevel="0" collapsed="false">
      <c r="A80" s="10" t="str">
        <f aca="false">IF($G80="","",INDEX('Work Master'!$A:$A,$G80))</f>
        <v/>
      </c>
      <c r="B80" s="10" t="str">
        <f aca="false">IF($G80="","",INDEX('Work Master'!$C:$C,$G80))</f>
        <v/>
      </c>
      <c r="C80" s="10" t="str">
        <f aca="false">IF($G80="","",INDEX('Work Master'!$D:$D,$G80))</f>
        <v/>
      </c>
      <c r="D80" s="15" t="str">
        <f aca="false">IF($G80="","",INDEX('Work Master'!$G:$G,$G80))</f>
        <v/>
      </c>
      <c r="E80" s="10" t="str">
        <f aca="false">IF($G80="","",INDEX('Work Master'!$I:$I,$G80))</f>
        <v/>
      </c>
      <c r="G80" s="0" t="str">
        <f aca="false">IFERROR(MATCH(79,'Work Master'!$O:$O,0),"")</f>
        <v/>
      </c>
    </row>
    <row r="81" customFormat="false" ht="15" hidden="false" customHeight="false" outlineLevel="0" collapsed="false">
      <c r="A81" s="10" t="str">
        <f aca="false">IF($G81="","",INDEX('Work Master'!$A:$A,$G81))</f>
        <v/>
      </c>
      <c r="B81" s="10" t="str">
        <f aca="false">IF($G81="","",INDEX('Work Master'!$C:$C,$G81))</f>
        <v/>
      </c>
      <c r="C81" s="10" t="str">
        <f aca="false">IF($G81="","",INDEX('Work Master'!$D:$D,$G81))</f>
        <v/>
      </c>
      <c r="D81" s="15" t="str">
        <f aca="false">IF($G81="","",INDEX('Work Master'!$G:$G,$G81))</f>
        <v/>
      </c>
      <c r="E81" s="10" t="str">
        <f aca="false">IF($G81="","",INDEX('Work Master'!$I:$I,$G81))</f>
        <v/>
      </c>
      <c r="G81" s="0" t="str">
        <f aca="false">IFERROR(MATCH(80,'Work Master'!$O:$O,0),"")</f>
        <v/>
      </c>
    </row>
    <row r="82" customFormat="false" ht="15" hidden="false" customHeight="false" outlineLevel="0" collapsed="false">
      <c r="A82" s="10" t="str">
        <f aca="false">IF($G82="","",INDEX('Work Master'!$A:$A,$G82))</f>
        <v/>
      </c>
      <c r="B82" s="10" t="str">
        <f aca="false">IF($G82="","",INDEX('Work Master'!$C:$C,$G82))</f>
        <v/>
      </c>
      <c r="C82" s="10" t="str">
        <f aca="false">IF($G82="","",INDEX('Work Master'!$D:$D,$G82))</f>
        <v/>
      </c>
      <c r="D82" s="15" t="str">
        <f aca="false">IF($G82="","",INDEX('Work Master'!$G:$G,$G82))</f>
        <v/>
      </c>
      <c r="E82" s="10" t="str">
        <f aca="false">IF($G82="","",INDEX('Work Master'!$I:$I,$G82))</f>
        <v/>
      </c>
      <c r="G82" s="0" t="str">
        <f aca="false">IFERROR(MATCH(81,'Work Master'!$O:$O,0),"")</f>
        <v/>
      </c>
    </row>
    <row r="83" customFormat="false" ht="15" hidden="false" customHeight="false" outlineLevel="0" collapsed="false">
      <c r="A83" s="10" t="str">
        <f aca="false">IF($G83="","",INDEX('Work Master'!$A:$A,$G83))</f>
        <v/>
      </c>
      <c r="B83" s="10" t="str">
        <f aca="false">IF($G83="","",INDEX('Work Master'!$C:$C,$G83))</f>
        <v/>
      </c>
      <c r="C83" s="10" t="str">
        <f aca="false">IF($G83="","",INDEX('Work Master'!$D:$D,$G83))</f>
        <v/>
      </c>
      <c r="D83" s="15" t="str">
        <f aca="false">IF($G83="","",INDEX('Work Master'!$G:$G,$G83))</f>
        <v/>
      </c>
      <c r="E83" s="10" t="str">
        <f aca="false">IF($G83="","",INDEX('Work Master'!$I:$I,$G83))</f>
        <v/>
      </c>
      <c r="G83" s="0" t="str">
        <f aca="false">IFERROR(MATCH(82,'Work Master'!$O:$O,0),"")</f>
        <v/>
      </c>
    </row>
    <row r="84" customFormat="false" ht="15" hidden="false" customHeight="false" outlineLevel="0" collapsed="false">
      <c r="A84" s="10" t="str">
        <f aca="false">IF($G84="","",INDEX('Work Master'!$A:$A,$G84))</f>
        <v/>
      </c>
      <c r="B84" s="10" t="str">
        <f aca="false">IF($G84="","",INDEX('Work Master'!$C:$C,$G84))</f>
        <v/>
      </c>
      <c r="C84" s="10" t="str">
        <f aca="false">IF($G84="","",INDEX('Work Master'!$D:$D,$G84))</f>
        <v/>
      </c>
      <c r="D84" s="15" t="str">
        <f aca="false">IF($G84="","",INDEX('Work Master'!$G:$G,$G84))</f>
        <v/>
      </c>
      <c r="E84" s="10" t="str">
        <f aca="false">IF($G84="","",INDEX('Work Master'!$I:$I,$G84))</f>
        <v/>
      </c>
      <c r="G84" s="0" t="str">
        <f aca="false">IFERROR(MATCH(83,'Work Master'!$O:$O,0),"")</f>
        <v/>
      </c>
    </row>
    <row r="85" customFormat="false" ht="15" hidden="false" customHeight="false" outlineLevel="0" collapsed="false">
      <c r="A85" s="10" t="str">
        <f aca="false">IF($G85="","",INDEX('Work Master'!$A:$A,$G85))</f>
        <v/>
      </c>
      <c r="B85" s="10" t="str">
        <f aca="false">IF($G85="","",INDEX('Work Master'!$C:$C,$G85))</f>
        <v/>
      </c>
      <c r="C85" s="10" t="str">
        <f aca="false">IF($G85="","",INDEX('Work Master'!$D:$D,$G85))</f>
        <v/>
      </c>
      <c r="D85" s="15" t="str">
        <f aca="false">IF($G85="","",INDEX('Work Master'!$G:$G,$G85))</f>
        <v/>
      </c>
      <c r="E85" s="10" t="str">
        <f aca="false">IF($G85="","",INDEX('Work Master'!$I:$I,$G85))</f>
        <v/>
      </c>
      <c r="G85" s="0" t="str">
        <f aca="false">IFERROR(MATCH(84,'Work Master'!$O:$O,0),"")</f>
        <v/>
      </c>
    </row>
    <row r="86" customFormat="false" ht="15" hidden="false" customHeight="false" outlineLevel="0" collapsed="false">
      <c r="A86" s="10" t="str">
        <f aca="false">IF($G86="","",INDEX('Work Master'!$A:$A,$G86))</f>
        <v/>
      </c>
      <c r="B86" s="10" t="str">
        <f aca="false">IF($G86="","",INDEX('Work Master'!$C:$C,$G86))</f>
        <v/>
      </c>
      <c r="C86" s="10" t="str">
        <f aca="false">IF($G86="","",INDEX('Work Master'!$D:$D,$G86))</f>
        <v/>
      </c>
      <c r="D86" s="15" t="str">
        <f aca="false">IF($G86="","",INDEX('Work Master'!$G:$G,$G86))</f>
        <v/>
      </c>
      <c r="E86" s="10" t="str">
        <f aca="false">IF($G86="","",INDEX('Work Master'!$I:$I,$G86))</f>
        <v/>
      </c>
      <c r="G86" s="0" t="str">
        <f aca="false">IFERROR(MATCH(85,'Work Master'!$O:$O,0),"")</f>
        <v/>
      </c>
    </row>
    <row r="87" customFormat="false" ht="15" hidden="false" customHeight="false" outlineLevel="0" collapsed="false">
      <c r="A87" s="10" t="str">
        <f aca="false">IF($G87="","",INDEX('Work Master'!$A:$A,$G87))</f>
        <v/>
      </c>
      <c r="B87" s="10" t="str">
        <f aca="false">IF($G87="","",INDEX('Work Master'!$C:$C,$G87))</f>
        <v/>
      </c>
      <c r="C87" s="10" t="str">
        <f aca="false">IF($G87="","",INDEX('Work Master'!$D:$D,$G87))</f>
        <v/>
      </c>
      <c r="D87" s="15" t="str">
        <f aca="false">IF($G87="","",INDEX('Work Master'!$G:$G,$G87))</f>
        <v/>
      </c>
      <c r="E87" s="10" t="str">
        <f aca="false">IF($G87="","",INDEX('Work Master'!$I:$I,$G87))</f>
        <v/>
      </c>
      <c r="G87" s="0" t="str">
        <f aca="false">IFERROR(MATCH(86,'Work Master'!$O:$O,0),"")</f>
        <v/>
      </c>
    </row>
    <row r="88" customFormat="false" ht="15" hidden="false" customHeight="false" outlineLevel="0" collapsed="false">
      <c r="A88" s="10" t="str">
        <f aca="false">IF($G88="","",INDEX('Work Master'!$A:$A,$G88))</f>
        <v/>
      </c>
      <c r="B88" s="10" t="str">
        <f aca="false">IF($G88="","",INDEX('Work Master'!$C:$C,$G88))</f>
        <v/>
      </c>
      <c r="C88" s="10" t="str">
        <f aca="false">IF($G88="","",INDEX('Work Master'!$D:$D,$G88))</f>
        <v/>
      </c>
      <c r="D88" s="15" t="str">
        <f aca="false">IF($G88="","",INDEX('Work Master'!$G:$G,$G88))</f>
        <v/>
      </c>
      <c r="E88" s="10" t="str">
        <f aca="false">IF($G88="","",INDEX('Work Master'!$I:$I,$G88))</f>
        <v/>
      </c>
      <c r="G88" s="0" t="str">
        <f aca="false">IFERROR(MATCH(87,'Work Master'!$O:$O,0),"")</f>
        <v/>
      </c>
    </row>
    <row r="89" customFormat="false" ht="15" hidden="false" customHeight="false" outlineLevel="0" collapsed="false">
      <c r="A89" s="10" t="str">
        <f aca="false">IF($G89="","",INDEX('Work Master'!$A:$A,$G89))</f>
        <v/>
      </c>
      <c r="B89" s="10" t="str">
        <f aca="false">IF($G89="","",INDEX('Work Master'!$C:$C,$G89))</f>
        <v/>
      </c>
      <c r="C89" s="10" t="str">
        <f aca="false">IF($G89="","",INDEX('Work Master'!$D:$D,$G89))</f>
        <v/>
      </c>
      <c r="D89" s="15" t="str">
        <f aca="false">IF($G89="","",INDEX('Work Master'!$G:$G,$G89))</f>
        <v/>
      </c>
      <c r="E89" s="10" t="str">
        <f aca="false">IF($G89="","",INDEX('Work Master'!$I:$I,$G89))</f>
        <v/>
      </c>
      <c r="G89" s="0" t="str">
        <f aca="false">IFERROR(MATCH(88,'Work Master'!$O:$O,0),"")</f>
        <v/>
      </c>
    </row>
    <row r="90" customFormat="false" ht="15" hidden="false" customHeight="false" outlineLevel="0" collapsed="false">
      <c r="A90" s="10" t="str">
        <f aca="false">IF($G90="","",INDEX('Work Master'!$A:$A,$G90))</f>
        <v/>
      </c>
      <c r="B90" s="10" t="str">
        <f aca="false">IF($G90="","",INDEX('Work Master'!$C:$C,$G90))</f>
        <v/>
      </c>
      <c r="C90" s="10" t="str">
        <f aca="false">IF($G90="","",INDEX('Work Master'!$D:$D,$G90))</f>
        <v/>
      </c>
      <c r="D90" s="15" t="str">
        <f aca="false">IF($G90="","",INDEX('Work Master'!$G:$G,$G90))</f>
        <v/>
      </c>
      <c r="E90" s="10" t="str">
        <f aca="false">IF($G90="","",INDEX('Work Master'!$I:$I,$G90))</f>
        <v/>
      </c>
      <c r="G90" s="0" t="str">
        <f aca="false">IFERROR(MATCH(89,'Work Master'!$O:$O,0),"")</f>
        <v/>
      </c>
    </row>
    <row r="91" customFormat="false" ht="15" hidden="false" customHeight="false" outlineLevel="0" collapsed="false">
      <c r="A91" s="10" t="str">
        <f aca="false">IF($G91="","",INDEX('Work Master'!$A:$A,$G91))</f>
        <v/>
      </c>
      <c r="B91" s="10" t="str">
        <f aca="false">IF($G91="","",INDEX('Work Master'!$C:$C,$G91))</f>
        <v/>
      </c>
      <c r="C91" s="10" t="str">
        <f aca="false">IF($G91="","",INDEX('Work Master'!$D:$D,$G91))</f>
        <v/>
      </c>
      <c r="D91" s="15" t="str">
        <f aca="false">IF($G91="","",INDEX('Work Master'!$G:$G,$G91))</f>
        <v/>
      </c>
      <c r="E91" s="10" t="str">
        <f aca="false">IF($G91="","",INDEX('Work Master'!$I:$I,$G91))</f>
        <v/>
      </c>
      <c r="G91" s="0" t="str">
        <f aca="false">IFERROR(MATCH(90,'Work Master'!$O:$O,0),"")</f>
        <v/>
      </c>
    </row>
    <row r="92" customFormat="false" ht="15" hidden="false" customHeight="false" outlineLevel="0" collapsed="false">
      <c r="A92" s="10" t="str">
        <f aca="false">IF($G92="","",INDEX('Work Master'!$A:$A,$G92))</f>
        <v/>
      </c>
      <c r="B92" s="10" t="str">
        <f aca="false">IF($G92="","",INDEX('Work Master'!$C:$C,$G92))</f>
        <v/>
      </c>
      <c r="C92" s="10" t="str">
        <f aca="false">IF($G92="","",INDEX('Work Master'!$D:$D,$G92))</f>
        <v/>
      </c>
      <c r="D92" s="15" t="str">
        <f aca="false">IF($G92="","",INDEX('Work Master'!$G:$G,$G92))</f>
        <v/>
      </c>
      <c r="E92" s="10" t="str">
        <f aca="false">IF($G92="","",INDEX('Work Master'!$I:$I,$G92))</f>
        <v/>
      </c>
      <c r="G92" s="0" t="str">
        <f aca="false">IFERROR(MATCH(91,'Work Master'!$O:$O,0),"")</f>
        <v/>
      </c>
    </row>
    <row r="93" customFormat="false" ht="15" hidden="false" customHeight="false" outlineLevel="0" collapsed="false">
      <c r="A93" s="10" t="str">
        <f aca="false">IF($G93="","",INDEX('Work Master'!$A:$A,$G93))</f>
        <v/>
      </c>
      <c r="B93" s="10" t="str">
        <f aca="false">IF($G93="","",INDEX('Work Master'!$C:$C,$G93))</f>
        <v/>
      </c>
      <c r="C93" s="10" t="str">
        <f aca="false">IF($G93="","",INDEX('Work Master'!$D:$D,$G93))</f>
        <v/>
      </c>
      <c r="D93" s="15" t="str">
        <f aca="false">IF($G93="","",INDEX('Work Master'!$G:$G,$G93))</f>
        <v/>
      </c>
      <c r="E93" s="10" t="str">
        <f aca="false">IF($G93="","",INDEX('Work Master'!$I:$I,$G93))</f>
        <v/>
      </c>
      <c r="G93" s="0" t="str">
        <f aca="false">IFERROR(MATCH(92,'Work Master'!$O:$O,0),"")</f>
        <v/>
      </c>
    </row>
    <row r="94" customFormat="false" ht="15" hidden="false" customHeight="false" outlineLevel="0" collapsed="false">
      <c r="A94" s="10" t="str">
        <f aca="false">IF($G94="","",INDEX('Work Master'!$A:$A,$G94))</f>
        <v/>
      </c>
      <c r="B94" s="10" t="str">
        <f aca="false">IF($G94="","",INDEX('Work Master'!$C:$C,$G94))</f>
        <v/>
      </c>
      <c r="C94" s="10" t="str">
        <f aca="false">IF($G94="","",INDEX('Work Master'!$D:$D,$G94))</f>
        <v/>
      </c>
      <c r="D94" s="15" t="str">
        <f aca="false">IF($G94="","",INDEX('Work Master'!$G:$G,$G94))</f>
        <v/>
      </c>
      <c r="E94" s="10" t="str">
        <f aca="false">IF($G94="","",INDEX('Work Master'!$I:$I,$G94))</f>
        <v/>
      </c>
      <c r="G94" s="0" t="str">
        <f aca="false">IFERROR(MATCH(93,'Work Master'!$O:$O,0),"")</f>
        <v/>
      </c>
    </row>
    <row r="95" customFormat="false" ht="15" hidden="false" customHeight="false" outlineLevel="0" collapsed="false">
      <c r="A95" s="10" t="str">
        <f aca="false">IF($G95="","",INDEX('Work Master'!$A:$A,$G95))</f>
        <v/>
      </c>
      <c r="B95" s="10" t="str">
        <f aca="false">IF($G95="","",INDEX('Work Master'!$C:$C,$G95))</f>
        <v/>
      </c>
      <c r="C95" s="10" t="str">
        <f aca="false">IF($G95="","",INDEX('Work Master'!$D:$D,$G95))</f>
        <v/>
      </c>
      <c r="D95" s="15" t="str">
        <f aca="false">IF($G95="","",INDEX('Work Master'!$G:$G,$G95))</f>
        <v/>
      </c>
      <c r="E95" s="10" t="str">
        <f aca="false">IF($G95="","",INDEX('Work Master'!$I:$I,$G95))</f>
        <v/>
      </c>
      <c r="G95" s="0" t="str">
        <f aca="false">IFERROR(MATCH(94,'Work Master'!$O:$O,0),"")</f>
        <v/>
      </c>
    </row>
    <row r="96" customFormat="false" ht="15" hidden="false" customHeight="false" outlineLevel="0" collapsed="false">
      <c r="A96" s="10" t="str">
        <f aca="false">IF($G96="","",INDEX('Work Master'!$A:$A,$G96))</f>
        <v/>
      </c>
      <c r="B96" s="10" t="str">
        <f aca="false">IF($G96="","",INDEX('Work Master'!$C:$C,$G96))</f>
        <v/>
      </c>
      <c r="C96" s="10" t="str">
        <f aca="false">IF($G96="","",INDEX('Work Master'!$D:$D,$G96))</f>
        <v/>
      </c>
      <c r="D96" s="15" t="str">
        <f aca="false">IF($G96="","",INDEX('Work Master'!$G:$G,$G96))</f>
        <v/>
      </c>
      <c r="E96" s="10" t="str">
        <f aca="false">IF($G96="","",INDEX('Work Master'!$I:$I,$G96))</f>
        <v/>
      </c>
      <c r="G96" s="0" t="str">
        <f aca="false">IFERROR(MATCH(95,'Work Master'!$O:$O,0),"")</f>
        <v/>
      </c>
    </row>
    <row r="97" customFormat="false" ht="15" hidden="false" customHeight="false" outlineLevel="0" collapsed="false">
      <c r="A97" s="10" t="str">
        <f aca="false">IF($G97="","",INDEX('Work Master'!$A:$A,$G97))</f>
        <v/>
      </c>
      <c r="B97" s="10" t="str">
        <f aca="false">IF($G97="","",INDEX('Work Master'!$C:$C,$G97))</f>
        <v/>
      </c>
      <c r="C97" s="10" t="str">
        <f aca="false">IF($G97="","",INDEX('Work Master'!$D:$D,$G97))</f>
        <v/>
      </c>
      <c r="D97" s="15" t="str">
        <f aca="false">IF($G97="","",INDEX('Work Master'!$G:$G,$G97))</f>
        <v/>
      </c>
      <c r="E97" s="10" t="str">
        <f aca="false">IF($G97="","",INDEX('Work Master'!$I:$I,$G97))</f>
        <v/>
      </c>
      <c r="G97" s="0" t="str">
        <f aca="false">IFERROR(MATCH(96,'Work Master'!$O:$O,0),"")</f>
        <v/>
      </c>
    </row>
    <row r="98" customFormat="false" ht="15" hidden="false" customHeight="false" outlineLevel="0" collapsed="false">
      <c r="A98" s="10" t="str">
        <f aca="false">IF($G98="","",INDEX('Work Master'!$A:$A,$G98))</f>
        <v/>
      </c>
      <c r="B98" s="10" t="str">
        <f aca="false">IF($G98="","",INDEX('Work Master'!$C:$C,$G98))</f>
        <v/>
      </c>
      <c r="C98" s="10" t="str">
        <f aca="false">IF($G98="","",INDEX('Work Master'!$D:$D,$G98))</f>
        <v/>
      </c>
      <c r="D98" s="15" t="str">
        <f aca="false">IF($G98="","",INDEX('Work Master'!$G:$G,$G98))</f>
        <v/>
      </c>
      <c r="E98" s="10" t="str">
        <f aca="false">IF($G98="","",INDEX('Work Master'!$I:$I,$G98))</f>
        <v/>
      </c>
      <c r="G98" s="0" t="str">
        <f aca="false">IFERROR(MATCH(97,'Work Master'!$O:$O,0),"")</f>
        <v/>
      </c>
    </row>
    <row r="99" customFormat="false" ht="15" hidden="false" customHeight="false" outlineLevel="0" collapsed="false">
      <c r="A99" s="10" t="str">
        <f aca="false">IF($G99="","",INDEX('Work Master'!$A:$A,$G99))</f>
        <v/>
      </c>
      <c r="B99" s="10" t="str">
        <f aca="false">IF($G99="","",INDEX('Work Master'!$C:$C,$G99))</f>
        <v/>
      </c>
      <c r="C99" s="10" t="str">
        <f aca="false">IF($G99="","",INDEX('Work Master'!$D:$D,$G99))</f>
        <v/>
      </c>
      <c r="D99" s="15" t="str">
        <f aca="false">IF($G99="","",INDEX('Work Master'!$G:$G,$G99))</f>
        <v/>
      </c>
      <c r="E99" s="10" t="str">
        <f aca="false">IF($G99="","",INDEX('Work Master'!$I:$I,$G99))</f>
        <v/>
      </c>
      <c r="G99" s="0" t="str">
        <f aca="false">IFERROR(MATCH(98,'Work Master'!$O:$O,0),"")</f>
        <v/>
      </c>
    </row>
    <row r="100" customFormat="false" ht="15" hidden="false" customHeight="false" outlineLevel="0" collapsed="false">
      <c r="A100" s="10" t="str">
        <f aca="false">IF($G100="","",INDEX('Work Master'!$A:$A,$G100))</f>
        <v/>
      </c>
      <c r="B100" s="10" t="str">
        <f aca="false">IF($G100="","",INDEX('Work Master'!$C:$C,$G100))</f>
        <v/>
      </c>
      <c r="C100" s="10" t="str">
        <f aca="false">IF($G100="","",INDEX('Work Master'!$D:$D,$G100))</f>
        <v/>
      </c>
      <c r="D100" s="15" t="str">
        <f aca="false">IF($G100="","",INDEX('Work Master'!$G:$G,$G100))</f>
        <v/>
      </c>
      <c r="E100" s="10" t="str">
        <f aca="false">IF($G100="","",INDEX('Work Master'!$I:$I,$G100))</f>
        <v/>
      </c>
      <c r="G100" s="0" t="str">
        <f aca="false">IFERROR(MATCH(99,'Work Master'!$O:$O,0),"")</f>
        <v/>
      </c>
    </row>
    <row r="101" customFormat="false" ht="15" hidden="false" customHeight="false" outlineLevel="0" collapsed="false">
      <c r="A101" s="10" t="str">
        <f aca="false">IF($G101="","",INDEX('Work Master'!$A:$A,$G101))</f>
        <v/>
      </c>
      <c r="B101" s="10" t="str">
        <f aca="false">IF($G101="","",INDEX('Work Master'!$C:$C,$G101))</f>
        <v/>
      </c>
      <c r="C101" s="10" t="str">
        <f aca="false">IF($G101="","",INDEX('Work Master'!$D:$D,$G101))</f>
        <v/>
      </c>
      <c r="D101" s="15" t="str">
        <f aca="false">IF($G101="","",INDEX('Work Master'!$G:$G,$G101))</f>
        <v/>
      </c>
      <c r="E101" s="10" t="str">
        <f aca="false">IF($G101="","",INDEX('Work Master'!$I:$I,$G101))</f>
        <v/>
      </c>
      <c r="G101" s="0" t="str">
        <f aca="false">IFERROR(MATCH(100,'Work Master'!$O:$O,0),"")</f>
        <v/>
      </c>
    </row>
    <row r="102" customFormat="false" ht="15" hidden="false" customHeight="false" outlineLevel="0" collapsed="false">
      <c r="A102" s="10" t="str">
        <f aca="false">IF($G102="","",INDEX('Work Master'!$A:$A,$G102))</f>
        <v/>
      </c>
      <c r="B102" s="10" t="str">
        <f aca="false">IF($G102="","",INDEX('Work Master'!$C:$C,$G102))</f>
        <v/>
      </c>
      <c r="C102" s="10" t="str">
        <f aca="false">IF($G102="","",INDEX('Work Master'!$D:$D,$G102))</f>
        <v/>
      </c>
      <c r="D102" s="15" t="str">
        <f aca="false">IF($G102="","",INDEX('Work Master'!$G:$G,$G102))</f>
        <v/>
      </c>
      <c r="E102" s="10" t="str">
        <f aca="false">IF($G102="","",INDEX('Work Master'!$I:$I,$G102))</f>
        <v/>
      </c>
      <c r="G102" s="0" t="str">
        <f aca="false">IFERROR(MATCH(101,'Work Master'!$O:$O,0),"")</f>
        <v/>
      </c>
    </row>
    <row r="103" customFormat="false" ht="15" hidden="false" customHeight="false" outlineLevel="0" collapsed="false">
      <c r="A103" s="10" t="str">
        <f aca="false">IF($G103="","",INDEX('Work Master'!$A:$A,$G103))</f>
        <v/>
      </c>
      <c r="B103" s="10" t="str">
        <f aca="false">IF($G103="","",INDEX('Work Master'!$C:$C,$G103))</f>
        <v/>
      </c>
      <c r="C103" s="10" t="str">
        <f aca="false">IF($G103="","",INDEX('Work Master'!$D:$D,$G103))</f>
        <v/>
      </c>
      <c r="D103" s="15" t="str">
        <f aca="false">IF($G103="","",INDEX('Work Master'!$G:$G,$G103))</f>
        <v/>
      </c>
      <c r="E103" s="10" t="str">
        <f aca="false">IF($G103="","",INDEX('Work Master'!$I:$I,$G103))</f>
        <v/>
      </c>
      <c r="G103" s="0" t="str">
        <f aca="false">IFERROR(MATCH(102,'Work Master'!$O:$O,0),"")</f>
        <v/>
      </c>
    </row>
    <row r="104" customFormat="false" ht="15" hidden="false" customHeight="false" outlineLevel="0" collapsed="false">
      <c r="A104" s="10" t="str">
        <f aca="false">IF($G104="","",INDEX('Work Master'!$A:$A,$G104))</f>
        <v/>
      </c>
      <c r="B104" s="10" t="str">
        <f aca="false">IF($G104="","",INDEX('Work Master'!$C:$C,$G104))</f>
        <v/>
      </c>
      <c r="C104" s="10" t="str">
        <f aca="false">IF($G104="","",INDEX('Work Master'!$D:$D,$G104))</f>
        <v/>
      </c>
      <c r="D104" s="15" t="str">
        <f aca="false">IF($G104="","",INDEX('Work Master'!$G:$G,$G104))</f>
        <v/>
      </c>
      <c r="E104" s="10" t="str">
        <f aca="false">IF($G104="","",INDEX('Work Master'!$I:$I,$G104))</f>
        <v/>
      </c>
      <c r="G104" s="0" t="str">
        <f aca="false">IFERROR(MATCH(103,'Work Master'!$O:$O,0),"")</f>
        <v/>
      </c>
    </row>
    <row r="105" customFormat="false" ht="15" hidden="false" customHeight="false" outlineLevel="0" collapsed="false">
      <c r="A105" s="10" t="str">
        <f aca="false">IF($G105="","",INDEX('Work Master'!$A:$A,$G105))</f>
        <v/>
      </c>
      <c r="B105" s="10" t="str">
        <f aca="false">IF($G105="","",INDEX('Work Master'!$C:$C,$G105))</f>
        <v/>
      </c>
      <c r="C105" s="10" t="str">
        <f aca="false">IF($G105="","",INDEX('Work Master'!$D:$D,$G105))</f>
        <v/>
      </c>
      <c r="D105" s="15" t="str">
        <f aca="false">IF($G105="","",INDEX('Work Master'!$G:$G,$G105))</f>
        <v/>
      </c>
      <c r="E105" s="10" t="str">
        <f aca="false">IF($G105="","",INDEX('Work Master'!$I:$I,$G105))</f>
        <v/>
      </c>
      <c r="G105" s="0" t="str">
        <f aca="false">IFERROR(MATCH(104,'Work Master'!$O:$O,0),"")</f>
        <v/>
      </c>
    </row>
    <row r="106" customFormat="false" ht="15" hidden="false" customHeight="false" outlineLevel="0" collapsed="false">
      <c r="A106" s="10" t="str">
        <f aca="false">IF($G106="","",INDEX('Work Master'!$A:$A,$G106))</f>
        <v/>
      </c>
      <c r="B106" s="10" t="str">
        <f aca="false">IF($G106="","",INDEX('Work Master'!$C:$C,$G106))</f>
        <v/>
      </c>
      <c r="C106" s="10" t="str">
        <f aca="false">IF($G106="","",INDEX('Work Master'!$D:$D,$G106))</f>
        <v/>
      </c>
      <c r="D106" s="15" t="str">
        <f aca="false">IF($G106="","",INDEX('Work Master'!$G:$G,$G106))</f>
        <v/>
      </c>
      <c r="E106" s="10" t="str">
        <f aca="false">IF($G106="","",INDEX('Work Master'!$I:$I,$G106))</f>
        <v/>
      </c>
      <c r="G106" s="0" t="str">
        <f aca="false">IFERROR(MATCH(105,'Work Master'!$O:$O,0),"")</f>
        <v/>
      </c>
    </row>
    <row r="107" customFormat="false" ht="15" hidden="false" customHeight="false" outlineLevel="0" collapsed="false">
      <c r="A107" s="10" t="str">
        <f aca="false">IF($G107="","",INDEX('Work Master'!$A:$A,$G107))</f>
        <v/>
      </c>
      <c r="B107" s="10" t="str">
        <f aca="false">IF($G107="","",INDEX('Work Master'!$C:$C,$G107))</f>
        <v/>
      </c>
      <c r="C107" s="10" t="str">
        <f aca="false">IF($G107="","",INDEX('Work Master'!$D:$D,$G107))</f>
        <v/>
      </c>
      <c r="D107" s="15" t="str">
        <f aca="false">IF($G107="","",INDEX('Work Master'!$G:$G,$G107))</f>
        <v/>
      </c>
      <c r="E107" s="10" t="str">
        <f aca="false">IF($G107="","",INDEX('Work Master'!$I:$I,$G107))</f>
        <v/>
      </c>
      <c r="G107" s="0" t="str">
        <f aca="false">IFERROR(MATCH(106,'Work Master'!$O:$O,0),"")</f>
        <v/>
      </c>
    </row>
    <row r="108" customFormat="false" ht="15" hidden="false" customHeight="false" outlineLevel="0" collapsed="false">
      <c r="A108" s="10" t="str">
        <f aca="false">IF($G108="","",INDEX('Work Master'!$A:$A,$G108))</f>
        <v/>
      </c>
      <c r="B108" s="10" t="str">
        <f aca="false">IF($G108="","",INDEX('Work Master'!$C:$C,$G108))</f>
        <v/>
      </c>
      <c r="C108" s="10" t="str">
        <f aca="false">IF($G108="","",INDEX('Work Master'!$D:$D,$G108))</f>
        <v/>
      </c>
      <c r="D108" s="15" t="str">
        <f aca="false">IF($G108="","",INDEX('Work Master'!$G:$G,$G108))</f>
        <v/>
      </c>
      <c r="E108" s="10" t="str">
        <f aca="false">IF($G108="","",INDEX('Work Master'!$I:$I,$G108))</f>
        <v/>
      </c>
      <c r="G108" s="0" t="str">
        <f aca="false">IFERROR(MATCH(107,'Work Master'!$O:$O,0),"")</f>
        <v/>
      </c>
    </row>
    <row r="109" customFormat="false" ht="15" hidden="false" customHeight="false" outlineLevel="0" collapsed="false">
      <c r="A109" s="10" t="str">
        <f aca="false">IF($G109="","",INDEX('Work Master'!$A:$A,$G109))</f>
        <v/>
      </c>
      <c r="B109" s="10" t="str">
        <f aca="false">IF($G109="","",INDEX('Work Master'!$C:$C,$G109))</f>
        <v/>
      </c>
      <c r="C109" s="10" t="str">
        <f aca="false">IF($G109="","",INDEX('Work Master'!$D:$D,$G109))</f>
        <v/>
      </c>
      <c r="D109" s="15" t="str">
        <f aca="false">IF($G109="","",INDEX('Work Master'!$G:$G,$G109))</f>
        <v/>
      </c>
      <c r="E109" s="10" t="str">
        <f aca="false">IF($G109="","",INDEX('Work Master'!$I:$I,$G109))</f>
        <v/>
      </c>
      <c r="G109" s="0" t="str">
        <f aca="false">IFERROR(MATCH(108,'Work Master'!$O:$O,0),"")</f>
        <v/>
      </c>
    </row>
    <row r="110" customFormat="false" ht="15" hidden="false" customHeight="false" outlineLevel="0" collapsed="false">
      <c r="A110" s="10" t="str">
        <f aca="false">IF($G110="","",INDEX('Work Master'!$A:$A,$G110))</f>
        <v/>
      </c>
      <c r="B110" s="10" t="str">
        <f aca="false">IF($G110="","",INDEX('Work Master'!$C:$C,$G110))</f>
        <v/>
      </c>
      <c r="C110" s="10" t="str">
        <f aca="false">IF($G110="","",INDEX('Work Master'!$D:$D,$G110))</f>
        <v/>
      </c>
      <c r="D110" s="15" t="str">
        <f aca="false">IF($G110="","",INDEX('Work Master'!$G:$G,$G110))</f>
        <v/>
      </c>
      <c r="E110" s="10" t="str">
        <f aca="false">IF($G110="","",INDEX('Work Master'!$I:$I,$G110))</f>
        <v/>
      </c>
      <c r="G110" s="0" t="str">
        <f aca="false">IFERROR(MATCH(109,'Work Master'!$O:$O,0),"")</f>
        <v/>
      </c>
    </row>
    <row r="111" customFormat="false" ht="15" hidden="false" customHeight="false" outlineLevel="0" collapsed="false">
      <c r="A111" s="10" t="str">
        <f aca="false">IF($G111="","",INDEX('Work Master'!$A:$A,$G111))</f>
        <v/>
      </c>
      <c r="B111" s="10" t="str">
        <f aca="false">IF($G111="","",INDEX('Work Master'!$C:$C,$G111))</f>
        <v/>
      </c>
      <c r="C111" s="10" t="str">
        <f aca="false">IF($G111="","",INDEX('Work Master'!$D:$D,$G111))</f>
        <v/>
      </c>
      <c r="D111" s="15" t="str">
        <f aca="false">IF($G111="","",INDEX('Work Master'!$G:$G,$G111))</f>
        <v/>
      </c>
      <c r="E111" s="10" t="str">
        <f aca="false">IF($G111="","",INDEX('Work Master'!$I:$I,$G111))</f>
        <v/>
      </c>
      <c r="G111" s="0" t="str">
        <f aca="false">IFERROR(MATCH(110,'Work Master'!$O:$O,0),"")</f>
        <v/>
      </c>
    </row>
    <row r="112" customFormat="false" ht="15" hidden="false" customHeight="false" outlineLevel="0" collapsed="false">
      <c r="A112" s="10" t="str">
        <f aca="false">IF($G112="","",INDEX('Work Master'!$A:$A,$G112))</f>
        <v/>
      </c>
      <c r="B112" s="10" t="str">
        <f aca="false">IF($G112="","",INDEX('Work Master'!$C:$C,$G112))</f>
        <v/>
      </c>
      <c r="C112" s="10" t="str">
        <f aca="false">IF($G112="","",INDEX('Work Master'!$D:$D,$G112))</f>
        <v/>
      </c>
      <c r="D112" s="15" t="str">
        <f aca="false">IF($G112="","",INDEX('Work Master'!$G:$G,$G112))</f>
        <v/>
      </c>
      <c r="E112" s="10" t="str">
        <f aca="false">IF($G112="","",INDEX('Work Master'!$I:$I,$G112))</f>
        <v/>
      </c>
      <c r="G112" s="0" t="str">
        <f aca="false">IFERROR(MATCH(111,'Work Master'!$O:$O,0),"")</f>
        <v/>
      </c>
    </row>
    <row r="113" customFormat="false" ht="15" hidden="false" customHeight="false" outlineLevel="0" collapsed="false">
      <c r="A113" s="10" t="str">
        <f aca="false">IF($G113="","",INDEX('Work Master'!$A:$A,$G113))</f>
        <v/>
      </c>
      <c r="B113" s="10" t="str">
        <f aca="false">IF($G113="","",INDEX('Work Master'!$C:$C,$G113))</f>
        <v/>
      </c>
      <c r="C113" s="10" t="str">
        <f aca="false">IF($G113="","",INDEX('Work Master'!$D:$D,$G113))</f>
        <v/>
      </c>
      <c r="D113" s="15" t="str">
        <f aca="false">IF($G113="","",INDEX('Work Master'!$G:$G,$G113))</f>
        <v/>
      </c>
      <c r="E113" s="10" t="str">
        <f aca="false">IF($G113="","",INDEX('Work Master'!$I:$I,$G113))</f>
        <v/>
      </c>
      <c r="G113" s="0" t="str">
        <f aca="false">IFERROR(MATCH(112,'Work Master'!$O:$O,0),"")</f>
        <v/>
      </c>
    </row>
    <row r="114" customFormat="false" ht="15" hidden="false" customHeight="false" outlineLevel="0" collapsed="false">
      <c r="A114" s="10" t="str">
        <f aca="false">IF($G114="","",INDEX('Work Master'!$A:$A,$G114))</f>
        <v/>
      </c>
      <c r="B114" s="10" t="str">
        <f aca="false">IF($G114="","",INDEX('Work Master'!$C:$C,$G114))</f>
        <v/>
      </c>
      <c r="C114" s="10" t="str">
        <f aca="false">IF($G114="","",INDEX('Work Master'!$D:$D,$G114))</f>
        <v/>
      </c>
      <c r="D114" s="15" t="str">
        <f aca="false">IF($G114="","",INDEX('Work Master'!$G:$G,$G114))</f>
        <v/>
      </c>
      <c r="E114" s="10" t="str">
        <f aca="false">IF($G114="","",INDEX('Work Master'!$I:$I,$G114))</f>
        <v/>
      </c>
      <c r="G114" s="0" t="str">
        <f aca="false">IFERROR(MATCH(113,'Work Master'!$O:$O,0),"")</f>
        <v/>
      </c>
    </row>
    <row r="115" customFormat="false" ht="15" hidden="false" customHeight="false" outlineLevel="0" collapsed="false">
      <c r="A115" s="10" t="str">
        <f aca="false">IF($G115="","",INDEX('Work Master'!$A:$A,$G115))</f>
        <v/>
      </c>
      <c r="B115" s="10" t="str">
        <f aca="false">IF($G115="","",INDEX('Work Master'!$C:$C,$G115))</f>
        <v/>
      </c>
      <c r="C115" s="10" t="str">
        <f aca="false">IF($G115="","",INDEX('Work Master'!$D:$D,$G115))</f>
        <v/>
      </c>
      <c r="D115" s="15" t="str">
        <f aca="false">IF($G115="","",INDEX('Work Master'!$G:$G,$G115))</f>
        <v/>
      </c>
      <c r="E115" s="10" t="str">
        <f aca="false">IF($G115="","",INDEX('Work Master'!$I:$I,$G115))</f>
        <v/>
      </c>
      <c r="G115" s="0" t="str">
        <f aca="false">IFERROR(MATCH(114,'Work Master'!$O:$O,0),"")</f>
        <v/>
      </c>
    </row>
    <row r="116" customFormat="false" ht="15" hidden="false" customHeight="false" outlineLevel="0" collapsed="false">
      <c r="A116" s="10" t="str">
        <f aca="false">IF($G116="","",INDEX('Work Master'!$A:$A,$G116))</f>
        <v/>
      </c>
      <c r="B116" s="10" t="str">
        <f aca="false">IF($G116="","",INDEX('Work Master'!$C:$C,$G116))</f>
        <v/>
      </c>
      <c r="C116" s="10" t="str">
        <f aca="false">IF($G116="","",INDEX('Work Master'!$D:$D,$G116))</f>
        <v/>
      </c>
      <c r="D116" s="15" t="str">
        <f aca="false">IF($G116="","",INDEX('Work Master'!$G:$G,$G116))</f>
        <v/>
      </c>
      <c r="E116" s="10" t="str">
        <f aca="false">IF($G116="","",INDEX('Work Master'!$I:$I,$G116))</f>
        <v/>
      </c>
      <c r="G116" s="0" t="str">
        <f aca="false">IFERROR(MATCH(115,'Work Master'!$O:$O,0),"")</f>
        <v/>
      </c>
    </row>
    <row r="117" customFormat="false" ht="15" hidden="false" customHeight="false" outlineLevel="0" collapsed="false">
      <c r="A117" s="10" t="str">
        <f aca="false">IF($G117="","",INDEX('Work Master'!$A:$A,$G117))</f>
        <v/>
      </c>
      <c r="B117" s="10" t="str">
        <f aca="false">IF($G117="","",INDEX('Work Master'!$C:$C,$G117))</f>
        <v/>
      </c>
      <c r="C117" s="10" t="str">
        <f aca="false">IF($G117="","",INDEX('Work Master'!$D:$D,$G117))</f>
        <v/>
      </c>
      <c r="D117" s="15" t="str">
        <f aca="false">IF($G117="","",INDEX('Work Master'!$G:$G,$G117))</f>
        <v/>
      </c>
      <c r="E117" s="10" t="str">
        <f aca="false">IF($G117="","",INDEX('Work Master'!$I:$I,$G117))</f>
        <v/>
      </c>
      <c r="G117" s="0" t="str">
        <f aca="false">IFERROR(MATCH(116,'Work Master'!$O:$O,0),"")</f>
        <v/>
      </c>
    </row>
    <row r="118" customFormat="false" ht="15" hidden="false" customHeight="false" outlineLevel="0" collapsed="false">
      <c r="A118" s="10" t="str">
        <f aca="false">IF($G118="","",INDEX('Work Master'!$A:$A,$G118))</f>
        <v/>
      </c>
      <c r="B118" s="10" t="str">
        <f aca="false">IF($G118="","",INDEX('Work Master'!$C:$C,$G118))</f>
        <v/>
      </c>
      <c r="C118" s="10" t="str">
        <f aca="false">IF($G118="","",INDEX('Work Master'!$D:$D,$G118))</f>
        <v/>
      </c>
      <c r="D118" s="15" t="str">
        <f aca="false">IF($G118="","",INDEX('Work Master'!$G:$G,$G118))</f>
        <v/>
      </c>
      <c r="E118" s="10" t="str">
        <f aca="false">IF($G118="","",INDEX('Work Master'!$I:$I,$G118))</f>
        <v/>
      </c>
      <c r="G118" s="0" t="str">
        <f aca="false">IFERROR(MATCH(117,'Work Master'!$O:$O,0),"")</f>
        <v/>
      </c>
    </row>
    <row r="119" customFormat="false" ht="15" hidden="false" customHeight="false" outlineLevel="0" collapsed="false">
      <c r="A119" s="10" t="str">
        <f aca="false">IF($G119="","",INDEX('Work Master'!$A:$A,$G119))</f>
        <v/>
      </c>
      <c r="B119" s="10" t="str">
        <f aca="false">IF($G119="","",INDEX('Work Master'!$C:$C,$G119))</f>
        <v/>
      </c>
      <c r="C119" s="10" t="str">
        <f aca="false">IF($G119="","",INDEX('Work Master'!$D:$D,$G119))</f>
        <v/>
      </c>
      <c r="D119" s="15" t="str">
        <f aca="false">IF($G119="","",INDEX('Work Master'!$G:$G,$G119))</f>
        <v/>
      </c>
      <c r="E119" s="10" t="str">
        <f aca="false">IF($G119="","",INDEX('Work Master'!$I:$I,$G119))</f>
        <v/>
      </c>
      <c r="G119" s="0" t="str">
        <f aca="false">IFERROR(MATCH(118,'Work Master'!$O:$O,0),"")</f>
        <v/>
      </c>
    </row>
    <row r="120" customFormat="false" ht="15" hidden="false" customHeight="false" outlineLevel="0" collapsed="false">
      <c r="A120" s="10" t="str">
        <f aca="false">IF($G120="","",INDEX('Work Master'!$A:$A,$G120))</f>
        <v/>
      </c>
      <c r="B120" s="10" t="str">
        <f aca="false">IF($G120="","",INDEX('Work Master'!$C:$C,$G120))</f>
        <v/>
      </c>
      <c r="C120" s="10" t="str">
        <f aca="false">IF($G120="","",INDEX('Work Master'!$D:$D,$G120))</f>
        <v/>
      </c>
      <c r="D120" s="15" t="str">
        <f aca="false">IF($G120="","",INDEX('Work Master'!$G:$G,$G120))</f>
        <v/>
      </c>
      <c r="E120" s="10" t="str">
        <f aca="false">IF($G120="","",INDEX('Work Master'!$I:$I,$G120))</f>
        <v/>
      </c>
      <c r="G120" s="0" t="str">
        <f aca="false">IFERROR(MATCH(119,'Work Master'!$O:$O,0),"")</f>
        <v/>
      </c>
    </row>
    <row r="121" customFormat="false" ht="15" hidden="false" customHeight="false" outlineLevel="0" collapsed="false">
      <c r="A121" s="10" t="str">
        <f aca="false">IF($G121="","",INDEX('Work Master'!$A:$A,$G121))</f>
        <v/>
      </c>
      <c r="B121" s="10" t="str">
        <f aca="false">IF($G121="","",INDEX('Work Master'!$C:$C,$G121))</f>
        <v/>
      </c>
      <c r="C121" s="10" t="str">
        <f aca="false">IF($G121="","",INDEX('Work Master'!$D:$D,$G121))</f>
        <v/>
      </c>
      <c r="D121" s="15" t="str">
        <f aca="false">IF($G121="","",INDEX('Work Master'!$G:$G,$G121))</f>
        <v/>
      </c>
      <c r="E121" s="10" t="str">
        <f aca="false">IF($G121="","",INDEX('Work Master'!$I:$I,$G121))</f>
        <v/>
      </c>
      <c r="G121" s="0" t="str">
        <f aca="false">IFERROR(MATCH(120,'Work Master'!$O:$O,0),"")</f>
        <v/>
      </c>
    </row>
    <row r="122" customFormat="false" ht="15" hidden="false" customHeight="false" outlineLevel="0" collapsed="false">
      <c r="A122" s="10" t="str">
        <f aca="false">IF($G122="","",INDEX('Work Master'!$A:$A,$G122))</f>
        <v/>
      </c>
      <c r="B122" s="10" t="str">
        <f aca="false">IF($G122="","",INDEX('Work Master'!$C:$C,$G122))</f>
        <v/>
      </c>
      <c r="C122" s="10" t="str">
        <f aca="false">IF($G122="","",INDEX('Work Master'!$D:$D,$G122))</f>
        <v/>
      </c>
      <c r="D122" s="15" t="str">
        <f aca="false">IF($G122="","",INDEX('Work Master'!$G:$G,$G122))</f>
        <v/>
      </c>
      <c r="E122" s="10" t="str">
        <f aca="false">IF($G122="","",INDEX('Work Master'!$I:$I,$G122))</f>
        <v/>
      </c>
      <c r="G122" s="0" t="str">
        <f aca="false">IFERROR(MATCH(121,'Work Master'!$O:$O,0),"")</f>
        <v/>
      </c>
    </row>
    <row r="123" customFormat="false" ht="15" hidden="false" customHeight="false" outlineLevel="0" collapsed="false">
      <c r="A123" s="10" t="str">
        <f aca="false">IF($G123="","",INDEX('Work Master'!$A:$A,$G123))</f>
        <v/>
      </c>
      <c r="B123" s="10" t="str">
        <f aca="false">IF($G123="","",INDEX('Work Master'!$C:$C,$G123))</f>
        <v/>
      </c>
      <c r="C123" s="10" t="str">
        <f aca="false">IF($G123="","",INDEX('Work Master'!$D:$D,$G123))</f>
        <v/>
      </c>
      <c r="D123" s="15" t="str">
        <f aca="false">IF($G123="","",INDEX('Work Master'!$G:$G,$G123))</f>
        <v/>
      </c>
      <c r="E123" s="10" t="str">
        <f aca="false">IF($G123="","",INDEX('Work Master'!$I:$I,$G123))</f>
        <v/>
      </c>
      <c r="G123" s="0" t="str">
        <f aca="false">IFERROR(MATCH(122,'Work Master'!$O:$O,0),"")</f>
        <v/>
      </c>
    </row>
    <row r="124" customFormat="false" ht="15" hidden="false" customHeight="false" outlineLevel="0" collapsed="false">
      <c r="A124" s="10" t="str">
        <f aca="false">IF($G124="","",INDEX('Work Master'!$A:$A,$G124))</f>
        <v/>
      </c>
      <c r="B124" s="10" t="str">
        <f aca="false">IF($G124="","",INDEX('Work Master'!$C:$C,$G124))</f>
        <v/>
      </c>
      <c r="C124" s="10" t="str">
        <f aca="false">IF($G124="","",INDEX('Work Master'!$D:$D,$G124))</f>
        <v/>
      </c>
      <c r="D124" s="15" t="str">
        <f aca="false">IF($G124="","",INDEX('Work Master'!$G:$G,$G124))</f>
        <v/>
      </c>
      <c r="E124" s="10" t="str">
        <f aca="false">IF($G124="","",INDEX('Work Master'!$I:$I,$G124))</f>
        <v/>
      </c>
      <c r="G124" s="0" t="str">
        <f aca="false">IFERROR(MATCH(123,'Work Master'!$O:$O,0),"")</f>
        <v/>
      </c>
    </row>
    <row r="125" customFormat="false" ht="15" hidden="false" customHeight="false" outlineLevel="0" collapsed="false">
      <c r="A125" s="10" t="str">
        <f aca="false">IF($G125="","",INDEX('Work Master'!$A:$A,$G125))</f>
        <v/>
      </c>
      <c r="B125" s="10" t="str">
        <f aca="false">IF($G125="","",INDEX('Work Master'!$C:$C,$G125))</f>
        <v/>
      </c>
      <c r="C125" s="10" t="str">
        <f aca="false">IF($G125="","",INDEX('Work Master'!$D:$D,$G125))</f>
        <v/>
      </c>
      <c r="D125" s="15" t="str">
        <f aca="false">IF($G125="","",INDEX('Work Master'!$G:$G,$G125))</f>
        <v/>
      </c>
      <c r="E125" s="10" t="str">
        <f aca="false">IF($G125="","",INDEX('Work Master'!$I:$I,$G125))</f>
        <v/>
      </c>
      <c r="G125" s="0" t="str">
        <f aca="false">IFERROR(MATCH(124,'Work Master'!$O:$O,0),"")</f>
        <v/>
      </c>
    </row>
    <row r="126" customFormat="false" ht="15" hidden="false" customHeight="false" outlineLevel="0" collapsed="false">
      <c r="A126" s="10" t="str">
        <f aca="false">IF($G126="","",INDEX('Work Master'!$A:$A,$G126))</f>
        <v/>
      </c>
      <c r="B126" s="10" t="str">
        <f aca="false">IF($G126="","",INDEX('Work Master'!$C:$C,$G126))</f>
        <v/>
      </c>
      <c r="C126" s="10" t="str">
        <f aca="false">IF($G126="","",INDEX('Work Master'!$D:$D,$G126))</f>
        <v/>
      </c>
      <c r="D126" s="15" t="str">
        <f aca="false">IF($G126="","",INDEX('Work Master'!$G:$G,$G126))</f>
        <v/>
      </c>
      <c r="E126" s="10" t="str">
        <f aca="false">IF($G126="","",INDEX('Work Master'!$I:$I,$G126))</f>
        <v/>
      </c>
      <c r="G126" s="0" t="str">
        <f aca="false">IFERROR(MATCH(125,'Work Master'!$O:$O,0),"")</f>
        <v/>
      </c>
    </row>
    <row r="127" customFormat="false" ht="15" hidden="false" customHeight="false" outlineLevel="0" collapsed="false">
      <c r="A127" s="10" t="str">
        <f aca="false">IF($G127="","",INDEX('Work Master'!$A:$A,$G127))</f>
        <v/>
      </c>
      <c r="B127" s="10" t="str">
        <f aca="false">IF($G127="","",INDEX('Work Master'!$C:$C,$G127))</f>
        <v/>
      </c>
      <c r="C127" s="10" t="str">
        <f aca="false">IF($G127="","",INDEX('Work Master'!$D:$D,$G127))</f>
        <v/>
      </c>
      <c r="D127" s="15" t="str">
        <f aca="false">IF($G127="","",INDEX('Work Master'!$G:$G,$G127))</f>
        <v/>
      </c>
      <c r="E127" s="10" t="str">
        <f aca="false">IF($G127="","",INDEX('Work Master'!$I:$I,$G127))</f>
        <v/>
      </c>
      <c r="G127" s="0" t="str">
        <f aca="false">IFERROR(MATCH(126,'Work Master'!$O:$O,0),"")</f>
        <v/>
      </c>
    </row>
    <row r="128" customFormat="false" ht="15" hidden="false" customHeight="false" outlineLevel="0" collapsed="false">
      <c r="A128" s="10" t="str">
        <f aca="false">IF($G128="","",INDEX('Work Master'!$A:$A,$G128))</f>
        <v/>
      </c>
      <c r="B128" s="10" t="str">
        <f aca="false">IF($G128="","",INDEX('Work Master'!$C:$C,$G128))</f>
        <v/>
      </c>
      <c r="C128" s="10" t="str">
        <f aca="false">IF($G128="","",INDEX('Work Master'!$D:$D,$G128))</f>
        <v/>
      </c>
      <c r="D128" s="15" t="str">
        <f aca="false">IF($G128="","",INDEX('Work Master'!$G:$G,$G128))</f>
        <v/>
      </c>
      <c r="E128" s="10" t="str">
        <f aca="false">IF($G128="","",INDEX('Work Master'!$I:$I,$G128))</f>
        <v/>
      </c>
      <c r="G128" s="0" t="str">
        <f aca="false">IFERROR(MATCH(127,'Work Master'!$O:$O,0),"")</f>
        <v/>
      </c>
    </row>
    <row r="129" customFormat="false" ht="15" hidden="false" customHeight="false" outlineLevel="0" collapsed="false">
      <c r="A129" s="10" t="str">
        <f aca="false">IF($G129="","",INDEX('Work Master'!$A:$A,$G129))</f>
        <v/>
      </c>
      <c r="B129" s="10" t="str">
        <f aca="false">IF($G129="","",INDEX('Work Master'!$C:$C,$G129))</f>
        <v/>
      </c>
      <c r="C129" s="10" t="str">
        <f aca="false">IF($G129="","",INDEX('Work Master'!$D:$D,$G129))</f>
        <v/>
      </c>
      <c r="D129" s="15" t="str">
        <f aca="false">IF($G129="","",INDEX('Work Master'!$G:$G,$G129))</f>
        <v/>
      </c>
      <c r="E129" s="10" t="str">
        <f aca="false">IF($G129="","",INDEX('Work Master'!$I:$I,$G129))</f>
        <v/>
      </c>
      <c r="G129" s="0" t="str">
        <f aca="false">IFERROR(MATCH(128,'Work Master'!$O:$O,0),"")</f>
        <v/>
      </c>
    </row>
    <row r="130" customFormat="false" ht="15" hidden="false" customHeight="false" outlineLevel="0" collapsed="false">
      <c r="A130" s="10" t="str">
        <f aca="false">IF($G130="","",INDEX('Work Master'!$A:$A,$G130))</f>
        <v/>
      </c>
      <c r="B130" s="10" t="str">
        <f aca="false">IF($G130="","",INDEX('Work Master'!$C:$C,$G130))</f>
        <v/>
      </c>
      <c r="C130" s="10" t="str">
        <f aca="false">IF($G130="","",INDEX('Work Master'!$D:$D,$G130))</f>
        <v/>
      </c>
      <c r="D130" s="15" t="str">
        <f aca="false">IF($G130="","",INDEX('Work Master'!$G:$G,$G130))</f>
        <v/>
      </c>
      <c r="E130" s="10" t="str">
        <f aca="false">IF($G130="","",INDEX('Work Master'!$I:$I,$G130))</f>
        <v/>
      </c>
      <c r="G130" s="0" t="str">
        <f aca="false">IFERROR(MATCH(129,'Work Master'!$O:$O,0),"")</f>
        <v/>
      </c>
    </row>
    <row r="131" customFormat="false" ht="15" hidden="false" customHeight="false" outlineLevel="0" collapsed="false">
      <c r="A131" s="10" t="str">
        <f aca="false">IF($G131="","",INDEX('Work Master'!$A:$A,$G131))</f>
        <v/>
      </c>
      <c r="B131" s="10" t="str">
        <f aca="false">IF($G131="","",INDEX('Work Master'!$C:$C,$G131))</f>
        <v/>
      </c>
      <c r="C131" s="10" t="str">
        <f aca="false">IF($G131="","",INDEX('Work Master'!$D:$D,$G131))</f>
        <v/>
      </c>
      <c r="D131" s="15" t="str">
        <f aca="false">IF($G131="","",INDEX('Work Master'!$G:$G,$G131))</f>
        <v/>
      </c>
      <c r="E131" s="10" t="str">
        <f aca="false">IF($G131="","",INDEX('Work Master'!$I:$I,$G131))</f>
        <v/>
      </c>
      <c r="G131" s="0" t="str">
        <f aca="false">IFERROR(MATCH(130,'Work Master'!$O:$O,0),"")</f>
        <v/>
      </c>
    </row>
    <row r="132" customFormat="false" ht="15" hidden="false" customHeight="false" outlineLevel="0" collapsed="false">
      <c r="A132" s="10" t="str">
        <f aca="false">IF($G132="","",INDEX('Work Master'!$A:$A,$G132))</f>
        <v/>
      </c>
      <c r="B132" s="10" t="str">
        <f aca="false">IF($G132="","",INDEX('Work Master'!$C:$C,$G132))</f>
        <v/>
      </c>
      <c r="C132" s="10" t="str">
        <f aca="false">IF($G132="","",INDEX('Work Master'!$D:$D,$G132))</f>
        <v/>
      </c>
      <c r="D132" s="15" t="str">
        <f aca="false">IF($G132="","",INDEX('Work Master'!$G:$G,$G132))</f>
        <v/>
      </c>
      <c r="E132" s="10" t="str">
        <f aca="false">IF($G132="","",INDEX('Work Master'!$I:$I,$G132))</f>
        <v/>
      </c>
      <c r="G132" s="0" t="str">
        <f aca="false">IFERROR(MATCH(131,'Work Master'!$O:$O,0),"")</f>
        <v/>
      </c>
    </row>
    <row r="133" customFormat="false" ht="15" hidden="false" customHeight="false" outlineLevel="0" collapsed="false">
      <c r="A133" s="10" t="str">
        <f aca="false">IF($G133="","",INDEX('Work Master'!$A:$A,$G133))</f>
        <v/>
      </c>
      <c r="B133" s="10" t="str">
        <f aca="false">IF($G133="","",INDEX('Work Master'!$C:$C,$G133))</f>
        <v/>
      </c>
      <c r="C133" s="10" t="str">
        <f aca="false">IF($G133="","",INDEX('Work Master'!$D:$D,$G133))</f>
        <v/>
      </c>
      <c r="D133" s="15" t="str">
        <f aca="false">IF($G133="","",INDEX('Work Master'!$G:$G,$G133))</f>
        <v/>
      </c>
      <c r="E133" s="10" t="str">
        <f aca="false">IF($G133="","",INDEX('Work Master'!$I:$I,$G133))</f>
        <v/>
      </c>
      <c r="G133" s="0" t="str">
        <f aca="false">IFERROR(MATCH(132,'Work Master'!$O:$O,0),"")</f>
        <v/>
      </c>
    </row>
    <row r="134" customFormat="false" ht="15" hidden="false" customHeight="false" outlineLevel="0" collapsed="false">
      <c r="A134" s="10" t="str">
        <f aca="false">IF($G134="","",INDEX('Work Master'!$A:$A,$G134))</f>
        <v/>
      </c>
      <c r="B134" s="10" t="str">
        <f aca="false">IF($G134="","",INDEX('Work Master'!$C:$C,$G134))</f>
        <v/>
      </c>
      <c r="C134" s="10" t="str">
        <f aca="false">IF($G134="","",INDEX('Work Master'!$D:$D,$G134))</f>
        <v/>
      </c>
      <c r="D134" s="15" t="str">
        <f aca="false">IF($G134="","",INDEX('Work Master'!$G:$G,$G134))</f>
        <v/>
      </c>
      <c r="E134" s="10" t="str">
        <f aca="false">IF($G134="","",INDEX('Work Master'!$I:$I,$G134))</f>
        <v/>
      </c>
      <c r="G134" s="0" t="str">
        <f aca="false">IFERROR(MATCH(133,'Work Master'!$O:$O,0),"")</f>
        <v/>
      </c>
    </row>
    <row r="135" customFormat="false" ht="15" hidden="false" customHeight="false" outlineLevel="0" collapsed="false">
      <c r="A135" s="10" t="str">
        <f aca="false">IF($G135="","",INDEX('Work Master'!$A:$A,$G135))</f>
        <v/>
      </c>
      <c r="B135" s="10" t="str">
        <f aca="false">IF($G135="","",INDEX('Work Master'!$C:$C,$G135))</f>
        <v/>
      </c>
      <c r="C135" s="10" t="str">
        <f aca="false">IF($G135="","",INDEX('Work Master'!$D:$D,$G135))</f>
        <v/>
      </c>
      <c r="D135" s="15" t="str">
        <f aca="false">IF($G135="","",INDEX('Work Master'!$G:$G,$G135))</f>
        <v/>
      </c>
      <c r="E135" s="10" t="str">
        <f aca="false">IF($G135="","",INDEX('Work Master'!$I:$I,$G135))</f>
        <v/>
      </c>
      <c r="G135" s="0" t="str">
        <f aca="false">IFERROR(MATCH(134,'Work Master'!$O:$O,0),"")</f>
        <v/>
      </c>
    </row>
    <row r="136" customFormat="false" ht="15" hidden="false" customHeight="false" outlineLevel="0" collapsed="false">
      <c r="A136" s="10" t="str">
        <f aca="false">IF($G136="","",INDEX('Work Master'!$A:$A,$G136))</f>
        <v/>
      </c>
      <c r="B136" s="10" t="str">
        <f aca="false">IF($G136="","",INDEX('Work Master'!$C:$C,$G136))</f>
        <v/>
      </c>
      <c r="C136" s="10" t="str">
        <f aca="false">IF($G136="","",INDEX('Work Master'!$D:$D,$G136))</f>
        <v/>
      </c>
      <c r="D136" s="15" t="str">
        <f aca="false">IF($G136="","",INDEX('Work Master'!$G:$G,$G136))</f>
        <v/>
      </c>
      <c r="E136" s="10" t="str">
        <f aca="false">IF($G136="","",INDEX('Work Master'!$I:$I,$G136))</f>
        <v/>
      </c>
      <c r="G136" s="0" t="str">
        <f aca="false">IFERROR(MATCH(135,'Work Master'!$O:$O,0),"")</f>
        <v/>
      </c>
    </row>
    <row r="137" customFormat="false" ht="15" hidden="false" customHeight="false" outlineLevel="0" collapsed="false">
      <c r="A137" s="10" t="str">
        <f aca="false">IF($G137="","",INDEX('Work Master'!$A:$A,$G137))</f>
        <v/>
      </c>
      <c r="B137" s="10" t="str">
        <f aca="false">IF($G137="","",INDEX('Work Master'!$C:$C,$G137))</f>
        <v/>
      </c>
      <c r="C137" s="10" t="str">
        <f aca="false">IF($G137="","",INDEX('Work Master'!$D:$D,$G137))</f>
        <v/>
      </c>
      <c r="D137" s="15" t="str">
        <f aca="false">IF($G137="","",INDEX('Work Master'!$G:$G,$G137))</f>
        <v/>
      </c>
      <c r="E137" s="10" t="str">
        <f aca="false">IF($G137="","",INDEX('Work Master'!$I:$I,$G137))</f>
        <v/>
      </c>
      <c r="G137" s="0" t="str">
        <f aca="false">IFERROR(MATCH(136,'Work Master'!$O:$O,0),"")</f>
        <v/>
      </c>
    </row>
    <row r="138" customFormat="false" ht="15" hidden="false" customHeight="false" outlineLevel="0" collapsed="false">
      <c r="A138" s="10" t="str">
        <f aca="false">IF($G138="","",INDEX('Work Master'!$A:$A,$G138))</f>
        <v/>
      </c>
      <c r="B138" s="10" t="str">
        <f aca="false">IF($G138="","",INDEX('Work Master'!$C:$C,$G138))</f>
        <v/>
      </c>
      <c r="C138" s="10" t="str">
        <f aca="false">IF($G138="","",INDEX('Work Master'!$D:$D,$G138))</f>
        <v/>
      </c>
      <c r="D138" s="15" t="str">
        <f aca="false">IF($G138="","",INDEX('Work Master'!$G:$G,$G138))</f>
        <v/>
      </c>
      <c r="E138" s="10" t="str">
        <f aca="false">IF($G138="","",INDEX('Work Master'!$I:$I,$G138))</f>
        <v/>
      </c>
      <c r="G138" s="0" t="str">
        <f aca="false">IFERROR(MATCH(137,'Work Master'!$O:$O,0),"")</f>
        <v/>
      </c>
    </row>
    <row r="139" customFormat="false" ht="15" hidden="false" customHeight="false" outlineLevel="0" collapsed="false">
      <c r="A139" s="10" t="str">
        <f aca="false">IF($G139="","",INDEX('Work Master'!$A:$A,$G139))</f>
        <v/>
      </c>
      <c r="B139" s="10" t="str">
        <f aca="false">IF($G139="","",INDEX('Work Master'!$C:$C,$G139))</f>
        <v/>
      </c>
      <c r="C139" s="10" t="str">
        <f aca="false">IF($G139="","",INDEX('Work Master'!$D:$D,$G139))</f>
        <v/>
      </c>
      <c r="D139" s="15" t="str">
        <f aca="false">IF($G139="","",INDEX('Work Master'!$G:$G,$G139))</f>
        <v/>
      </c>
      <c r="E139" s="10" t="str">
        <f aca="false">IF($G139="","",INDEX('Work Master'!$I:$I,$G139))</f>
        <v/>
      </c>
      <c r="G139" s="0" t="str">
        <f aca="false">IFERROR(MATCH(138,'Work Master'!$O:$O,0),"")</f>
        <v/>
      </c>
    </row>
    <row r="140" customFormat="false" ht="15" hidden="false" customHeight="false" outlineLevel="0" collapsed="false">
      <c r="A140" s="10" t="str">
        <f aca="false">IF($G140="","",INDEX('Work Master'!$A:$A,$G140))</f>
        <v/>
      </c>
      <c r="B140" s="10" t="str">
        <f aca="false">IF($G140="","",INDEX('Work Master'!$C:$C,$G140))</f>
        <v/>
      </c>
      <c r="C140" s="10" t="str">
        <f aca="false">IF($G140="","",INDEX('Work Master'!$D:$D,$G140))</f>
        <v/>
      </c>
      <c r="D140" s="15" t="str">
        <f aca="false">IF($G140="","",INDEX('Work Master'!$G:$G,$G140))</f>
        <v/>
      </c>
      <c r="E140" s="10" t="str">
        <f aca="false">IF($G140="","",INDEX('Work Master'!$I:$I,$G140))</f>
        <v/>
      </c>
      <c r="G140" s="0" t="str">
        <f aca="false">IFERROR(MATCH(139,'Work Master'!$O:$O,0),"")</f>
        <v/>
      </c>
    </row>
    <row r="141" customFormat="false" ht="15" hidden="false" customHeight="false" outlineLevel="0" collapsed="false">
      <c r="A141" s="10" t="str">
        <f aca="false">IF($G141="","",INDEX('Work Master'!$A:$A,$G141))</f>
        <v/>
      </c>
      <c r="B141" s="10" t="str">
        <f aca="false">IF($G141="","",INDEX('Work Master'!$C:$C,$G141))</f>
        <v/>
      </c>
      <c r="C141" s="10" t="str">
        <f aca="false">IF($G141="","",INDEX('Work Master'!$D:$D,$G141))</f>
        <v/>
      </c>
      <c r="D141" s="15" t="str">
        <f aca="false">IF($G141="","",INDEX('Work Master'!$G:$G,$G141))</f>
        <v/>
      </c>
      <c r="E141" s="10" t="str">
        <f aca="false">IF($G141="","",INDEX('Work Master'!$I:$I,$G141))</f>
        <v/>
      </c>
      <c r="G141" s="0" t="str">
        <f aca="false">IFERROR(MATCH(140,'Work Master'!$O:$O,0),"")</f>
        <v/>
      </c>
    </row>
    <row r="142" customFormat="false" ht="15" hidden="false" customHeight="false" outlineLevel="0" collapsed="false">
      <c r="A142" s="10" t="str">
        <f aca="false">IF($G142="","",INDEX('Work Master'!$A:$A,$G142))</f>
        <v/>
      </c>
      <c r="B142" s="10" t="str">
        <f aca="false">IF($G142="","",INDEX('Work Master'!$C:$C,$G142))</f>
        <v/>
      </c>
      <c r="C142" s="10" t="str">
        <f aca="false">IF($G142="","",INDEX('Work Master'!$D:$D,$G142))</f>
        <v/>
      </c>
      <c r="D142" s="15" t="str">
        <f aca="false">IF($G142="","",INDEX('Work Master'!$G:$G,$G142))</f>
        <v/>
      </c>
      <c r="E142" s="10" t="str">
        <f aca="false">IF($G142="","",INDEX('Work Master'!$I:$I,$G142))</f>
        <v/>
      </c>
      <c r="G142" s="0" t="str">
        <f aca="false">IFERROR(MATCH(141,'Work Master'!$O:$O,0),"")</f>
        <v/>
      </c>
    </row>
    <row r="143" customFormat="false" ht="15" hidden="false" customHeight="false" outlineLevel="0" collapsed="false">
      <c r="A143" s="10" t="str">
        <f aca="false">IF($G143="","",INDEX('Work Master'!$A:$A,$G143))</f>
        <v/>
      </c>
      <c r="B143" s="10" t="str">
        <f aca="false">IF($G143="","",INDEX('Work Master'!$C:$C,$G143))</f>
        <v/>
      </c>
      <c r="C143" s="10" t="str">
        <f aca="false">IF($G143="","",INDEX('Work Master'!$D:$D,$G143))</f>
        <v/>
      </c>
      <c r="D143" s="15" t="str">
        <f aca="false">IF($G143="","",INDEX('Work Master'!$G:$G,$G143))</f>
        <v/>
      </c>
      <c r="E143" s="10" t="str">
        <f aca="false">IF($G143="","",INDEX('Work Master'!$I:$I,$G143))</f>
        <v/>
      </c>
      <c r="G143" s="0" t="str">
        <f aca="false">IFERROR(MATCH(142,'Work Master'!$O:$O,0),"")</f>
        <v/>
      </c>
    </row>
    <row r="144" customFormat="false" ht="15" hidden="false" customHeight="false" outlineLevel="0" collapsed="false">
      <c r="A144" s="10" t="str">
        <f aca="false">IF($G144="","",INDEX('Work Master'!$A:$A,$G144))</f>
        <v/>
      </c>
      <c r="B144" s="10" t="str">
        <f aca="false">IF($G144="","",INDEX('Work Master'!$C:$C,$G144))</f>
        <v/>
      </c>
      <c r="C144" s="10" t="str">
        <f aca="false">IF($G144="","",INDEX('Work Master'!$D:$D,$G144))</f>
        <v/>
      </c>
      <c r="D144" s="15" t="str">
        <f aca="false">IF($G144="","",INDEX('Work Master'!$G:$G,$G144))</f>
        <v/>
      </c>
      <c r="E144" s="10" t="str">
        <f aca="false">IF($G144="","",INDEX('Work Master'!$I:$I,$G144))</f>
        <v/>
      </c>
      <c r="G144" s="0" t="str">
        <f aca="false">IFERROR(MATCH(143,'Work Master'!$O:$O,0),"")</f>
        <v/>
      </c>
    </row>
    <row r="145" customFormat="false" ht="15" hidden="false" customHeight="false" outlineLevel="0" collapsed="false">
      <c r="A145" s="10" t="str">
        <f aca="false">IF($G145="","",INDEX('Work Master'!$A:$A,$G145))</f>
        <v/>
      </c>
      <c r="B145" s="10" t="str">
        <f aca="false">IF($G145="","",INDEX('Work Master'!$C:$C,$G145))</f>
        <v/>
      </c>
      <c r="C145" s="10" t="str">
        <f aca="false">IF($G145="","",INDEX('Work Master'!$D:$D,$G145))</f>
        <v/>
      </c>
      <c r="D145" s="15" t="str">
        <f aca="false">IF($G145="","",INDEX('Work Master'!$G:$G,$G145))</f>
        <v/>
      </c>
      <c r="E145" s="10" t="str">
        <f aca="false">IF($G145="","",INDEX('Work Master'!$I:$I,$G145))</f>
        <v/>
      </c>
      <c r="G145" s="0" t="str">
        <f aca="false">IFERROR(MATCH(144,'Work Master'!$O:$O,0),"")</f>
        <v/>
      </c>
    </row>
    <row r="146" customFormat="false" ht="15" hidden="false" customHeight="false" outlineLevel="0" collapsed="false">
      <c r="A146" s="10" t="str">
        <f aca="false">IF($G146="","",INDEX('Work Master'!$A:$A,$G146))</f>
        <v/>
      </c>
      <c r="B146" s="10" t="str">
        <f aca="false">IF($G146="","",INDEX('Work Master'!$C:$C,$G146))</f>
        <v/>
      </c>
      <c r="C146" s="10" t="str">
        <f aca="false">IF($G146="","",INDEX('Work Master'!$D:$D,$G146))</f>
        <v/>
      </c>
      <c r="D146" s="15" t="str">
        <f aca="false">IF($G146="","",INDEX('Work Master'!$G:$G,$G146))</f>
        <v/>
      </c>
      <c r="E146" s="10" t="str">
        <f aca="false">IF($G146="","",INDEX('Work Master'!$I:$I,$G146))</f>
        <v/>
      </c>
      <c r="G146" s="0" t="str">
        <f aca="false">IFERROR(MATCH(145,'Work Master'!$O:$O,0),"")</f>
        <v/>
      </c>
    </row>
    <row r="147" customFormat="false" ht="15" hidden="false" customHeight="false" outlineLevel="0" collapsed="false">
      <c r="A147" s="10" t="str">
        <f aca="false">IF($G147="","",INDEX('Work Master'!$A:$A,$G147))</f>
        <v/>
      </c>
      <c r="B147" s="10" t="str">
        <f aca="false">IF($G147="","",INDEX('Work Master'!$C:$C,$G147))</f>
        <v/>
      </c>
      <c r="C147" s="10" t="str">
        <f aca="false">IF($G147="","",INDEX('Work Master'!$D:$D,$G147))</f>
        <v/>
      </c>
      <c r="D147" s="15" t="str">
        <f aca="false">IF($G147="","",INDEX('Work Master'!$G:$G,$G147))</f>
        <v/>
      </c>
      <c r="E147" s="10" t="str">
        <f aca="false">IF($G147="","",INDEX('Work Master'!$I:$I,$G147))</f>
        <v/>
      </c>
      <c r="G147" s="0" t="str">
        <f aca="false">IFERROR(MATCH(146,'Work Master'!$O:$O,0),"")</f>
        <v/>
      </c>
    </row>
    <row r="148" customFormat="false" ht="15" hidden="false" customHeight="false" outlineLevel="0" collapsed="false">
      <c r="A148" s="10" t="str">
        <f aca="false">IF($G148="","",INDEX('Work Master'!$A:$A,$G148))</f>
        <v/>
      </c>
      <c r="B148" s="10" t="str">
        <f aca="false">IF($G148="","",INDEX('Work Master'!$C:$C,$G148))</f>
        <v/>
      </c>
      <c r="C148" s="10" t="str">
        <f aca="false">IF($G148="","",INDEX('Work Master'!$D:$D,$G148))</f>
        <v/>
      </c>
      <c r="D148" s="15" t="str">
        <f aca="false">IF($G148="","",INDEX('Work Master'!$G:$G,$G148))</f>
        <v/>
      </c>
      <c r="E148" s="10" t="str">
        <f aca="false">IF($G148="","",INDEX('Work Master'!$I:$I,$G148))</f>
        <v/>
      </c>
      <c r="G148" s="0" t="str">
        <f aca="false">IFERROR(MATCH(147,'Work Master'!$O:$O,0),"")</f>
        <v/>
      </c>
    </row>
    <row r="149" customFormat="false" ht="15" hidden="false" customHeight="false" outlineLevel="0" collapsed="false">
      <c r="A149" s="10" t="str">
        <f aca="false">IF($G149="","",INDEX('Work Master'!$A:$A,$G149))</f>
        <v/>
      </c>
      <c r="B149" s="10" t="str">
        <f aca="false">IF($G149="","",INDEX('Work Master'!$C:$C,$G149))</f>
        <v/>
      </c>
      <c r="C149" s="10" t="str">
        <f aca="false">IF($G149="","",INDEX('Work Master'!$D:$D,$G149))</f>
        <v/>
      </c>
      <c r="D149" s="15" t="str">
        <f aca="false">IF($G149="","",INDEX('Work Master'!$G:$G,$G149))</f>
        <v/>
      </c>
      <c r="E149" s="10" t="str">
        <f aca="false">IF($G149="","",INDEX('Work Master'!$I:$I,$G149))</f>
        <v/>
      </c>
      <c r="G149" s="0" t="str">
        <f aca="false">IFERROR(MATCH(148,'Work Master'!$O:$O,0),"")</f>
        <v/>
      </c>
    </row>
    <row r="150" customFormat="false" ht="15" hidden="false" customHeight="false" outlineLevel="0" collapsed="false">
      <c r="A150" s="10" t="str">
        <f aca="false">IF($G150="","",INDEX('Work Master'!$A:$A,$G150))</f>
        <v/>
      </c>
      <c r="B150" s="10" t="str">
        <f aca="false">IF($G150="","",INDEX('Work Master'!$C:$C,$G150))</f>
        <v/>
      </c>
      <c r="C150" s="10" t="str">
        <f aca="false">IF($G150="","",INDEX('Work Master'!$D:$D,$G150))</f>
        <v/>
      </c>
      <c r="D150" s="15" t="str">
        <f aca="false">IF($G150="","",INDEX('Work Master'!$G:$G,$G150))</f>
        <v/>
      </c>
      <c r="E150" s="10" t="str">
        <f aca="false">IF($G150="","",INDEX('Work Master'!$I:$I,$G150))</f>
        <v/>
      </c>
      <c r="G150" s="0" t="str">
        <f aca="false">IFERROR(MATCH(149,'Work Master'!$O:$O,0),"")</f>
        <v/>
      </c>
    </row>
    <row r="151" customFormat="false" ht="15" hidden="false" customHeight="false" outlineLevel="0" collapsed="false">
      <c r="A151" s="10" t="str">
        <f aca="false">IF($G151="","",INDEX('Work Master'!$A:$A,$G151))</f>
        <v/>
      </c>
      <c r="B151" s="10" t="str">
        <f aca="false">IF($G151="","",INDEX('Work Master'!$C:$C,$G151))</f>
        <v/>
      </c>
      <c r="C151" s="10" t="str">
        <f aca="false">IF($G151="","",INDEX('Work Master'!$D:$D,$G151))</f>
        <v/>
      </c>
      <c r="D151" s="15" t="str">
        <f aca="false">IF($G151="","",INDEX('Work Master'!$G:$G,$G151))</f>
        <v/>
      </c>
      <c r="E151" s="10" t="str">
        <f aca="false">IF($G151="","",INDEX('Work Master'!$I:$I,$G151))</f>
        <v/>
      </c>
      <c r="G151" s="0" t="str">
        <f aca="false">IFERROR(MATCH(150,'Work Master'!$O:$O,0),"")</f>
        <v/>
      </c>
    </row>
    <row r="152" customFormat="false" ht="15" hidden="false" customHeight="false" outlineLevel="0" collapsed="false">
      <c r="A152" s="10" t="str">
        <f aca="false">IF($G152="","",INDEX('Work Master'!$A:$A,$G152))</f>
        <v/>
      </c>
      <c r="B152" s="10" t="str">
        <f aca="false">IF($G152="","",INDEX('Work Master'!$C:$C,$G152))</f>
        <v/>
      </c>
      <c r="C152" s="10" t="str">
        <f aca="false">IF($G152="","",INDEX('Work Master'!$D:$D,$G152))</f>
        <v/>
      </c>
      <c r="D152" s="15" t="str">
        <f aca="false">IF($G152="","",INDEX('Work Master'!$G:$G,$G152))</f>
        <v/>
      </c>
      <c r="E152" s="10" t="str">
        <f aca="false">IF($G152="","",INDEX('Work Master'!$I:$I,$G152))</f>
        <v/>
      </c>
      <c r="G152" s="0" t="str">
        <f aca="false">IFERROR(MATCH(151,'Work Master'!$O:$O,0),"")</f>
        <v/>
      </c>
    </row>
    <row r="153" customFormat="false" ht="15" hidden="false" customHeight="false" outlineLevel="0" collapsed="false">
      <c r="A153" s="10" t="str">
        <f aca="false">IF($G153="","",INDEX('Work Master'!$A:$A,$G153))</f>
        <v/>
      </c>
      <c r="B153" s="10" t="str">
        <f aca="false">IF($G153="","",INDEX('Work Master'!$C:$C,$G153))</f>
        <v/>
      </c>
      <c r="C153" s="10" t="str">
        <f aca="false">IF($G153="","",INDEX('Work Master'!$D:$D,$G153))</f>
        <v/>
      </c>
      <c r="D153" s="15" t="str">
        <f aca="false">IF($G153="","",INDEX('Work Master'!$G:$G,$G153))</f>
        <v/>
      </c>
      <c r="E153" s="10" t="str">
        <f aca="false">IF($G153="","",INDEX('Work Master'!$I:$I,$G153))</f>
        <v/>
      </c>
      <c r="G153" s="0" t="str">
        <f aca="false">IFERROR(MATCH(152,'Work Master'!$O:$O,0),"")</f>
        <v/>
      </c>
    </row>
    <row r="154" customFormat="false" ht="15" hidden="false" customHeight="false" outlineLevel="0" collapsed="false">
      <c r="A154" s="10" t="str">
        <f aca="false">IF($G154="","",INDEX('Work Master'!$A:$A,$G154))</f>
        <v/>
      </c>
      <c r="B154" s="10" t="str">
        <f aca="false">IF($G154="","",INDEX('Work Master'!$C:$C,$G154))</f>
        <v/>
      </c>
      <c r="C154" s="10" t="str">
        <f aca="false">IF($G154="","",INDEX('Work Master'!$D:$D,$G154))</f>
        <v/>
      </c>
      <c r="D154" s="15" t="str">
        <f aca="false">IF($G154="","",INDEX('Work Master'!$G:$G,$G154))</f>
        <v/>
      </c>
      <c r="E154" s="10" t="str">
        <f aca="false">IF($G154="","",INDEX('Work Master'!$I:$I,$G154))</f>
        <v/>
      </c>
      <c r="G154" s="0" t="str">
        <f aca="false">IFERROR(MATCH(153,'Work Master'!$O:$O,0),"")</f>
        <v/>
      </c>
    </row>
    <row r="155" customFormat="false" ht="15" hidden="false" customHeight="false" outlineLevel="0" collapsed="false">
      <c r="A155" s="10" t="str">
        <f aca="false">IF($G155="","",INDEX('Work Master'!$A:$A,$G155))</f>
        <v/>
      </c>
      <c r="B155" s="10" t="str">
        <f aca="false">IF($G155="","",INDEX('Work Master'!$C:$C,$G155))</f>
        <v/>
      </c>
      <c r="C155" s="10" t="str">
        <f aca="false">IF($G155="","",INDEX('Work Master'!$D:$D,$G155))</f>
        <v/>
      </c>
      <c r="D155" s="15" t="str">
        <f aca="false">IF($G155="","",INDEX('Work Master'!$G:$G,$G155))</f>
        <v/>
      </c>
      <c r="E155" s="10" t="str">
        <f aca="false">IF($G155="","",INDEX('Work Master'!$I:$I,$G155))</f>
        <v/>
      </c>
      <c r="G155" s="0" t="str">
        <f aca="false">IFERROR(MATCH(154,'Work Master'!$O:$O,0),"")</f>
        <v/>
      </c>
    </row>
    <row r="156" customFormat="false" ht="15" hidden="false" customHeight="false" outlineLevel="0" collapsed="false">
      <c r="A156" s="10" t="str">
        <f aca="false">IF($G156="","",INDEX('Work Master'!$A:$A,$G156))</f>
        <v/>
      </c>
      <c r="B156" s="10" t="str">
        <f aca="false">IF($G156="","",INDEX('Work Master'!$C:$C,$G156))</f>
        <v/>
      </c>
      <c r="C156" s="10" t="str">
        <f aca="false">IF($G156="","",INDEX('Work Master'!$D:$D,$G156))</f>
        <v/>
      </c>
      <c r="D156" s="15" t="str">
        <f aca="false">IF($G156="","",INDEX('Work Master'!$G:$G,$G156))</f>
        <v/>
      </c>
      <c r="E156" s="10" t="str">
        <f aca="false">IF($G156="","",INDEX('Work Master'!$I:$I,$G156))</f>
        <v/>
      </c>
      <c r="G156" s="0" t="str">
        <f aca="false">IFERROR(MATCH(155,'Work Master'!$O:$O,0),"")</f>
        <v/>
      </c>
    </row>
    <row r="157" customFormat="false" ht="15" hidden="false" customHeight="false" outlineLevel="0" collapsed="false">
      <c r="A157" s="10" t="str">
        <f aca="false">IF($G157="","",INDEX('Work Master'!$A:$A,$G157))</f>
        <v/>
      </c>
      <c r="B157" s="10" t="str">
        <f aca="false">IF($G157="","",INDEX('Work Master'!$C:$C,$G157))</f>
        <v/>
      </c>
      <c r="C157" s="10" t="str">
        <f aca="false">IF($G157="","",INDEX('Work Master'!$D:$D,$G157))</f>
        <v/>
      </c>
      <c r="D157" s="15" t="str">
        <f aca="false">IF($G157="","",INDEX('Work Master'!$G:$G,$G157))</f>
        <v/>
      </c>
      <c r="E157" s="10" t="str">
        <f aca="false">IF($G157="","",INDEX('Work Master'!$I:$I,$G157))</f>
        <v/>
      </c>
      <c r="G157" s="0" t="str">
        <f aca="false">IFERROR(MATCH(156,'Work Master'!$O:$O,0),"")</f>
        <v/>
      </c>
    </row>
    <row r="158" customFormat="false" ht="15" hidden="false" customHeight="false" outlineLevel="0" collapsed="false">
      <c r="A158" s="10" t="str">
        <f aca="false">IF($G158="","",INDEX('Work Master'!$A:$A,$G158))</f>
        <v/>
      </c>
      <c r="B158" s="10" t="str">
        <f aca="false">IF($G158="","",INDEX('Work Master'!$C:$C,$G158))</f>
        <v/>
      </c>
      <c r="C158" s="10" t="str">
        <f aca="false">IF($G158="","",INDEX('Work Master'!$D:$D,$G158))</f>
        <v/>
      </c>
      <c r="D158" s="15" t="str">
        <f aca="false">IF($G158="","",INDEX('Work Master'!$G:$G,$G158))</f>
        <v/>
      </c>
      <c r="E158" s="10" t="str">
        <f aca="false">IF($G158="","",INDEX('Work Master'!$I:$I,$G158))</f>
        <v/>
      </c>
      <c r="G158" s="0" t="str">
        <f aca="false">IFERROR(MATCH(157,'Work Master'!$O:$O,0),"")</f>
        <v/>
      </c>
    </row>
    <row r="159" customFormat="false" ht="15" hidden="false" customHeight="false" outlineLevel="0" collapsed="false">
      <c r="A159" s="10" t="str">
        <f aca="false">IF($G159="","",INDEX('Work Master'!$A:$A,$G159))</f>
        <v/>
      </c>
      <c r="B159" s="10" t="str">
        <f aca="false">IF($G159="","",INDEX('Work Master'!$C:$C,$G159))</f>
        <v/>
      </c>
      <c r="C159" s="10" t="str">
        <f aca="false">IF($G159="","",INDEX('Work Master'!$D:$D,$G159))</f>
        <v/>
      </c>
      <c r="D159" s="15" t="str">
        <f aca="false">IF($G159="","",INDEX('Work Master'!$G:$G,$G159))</f>
        <v/>
      </c>
      <c r="E159" s="10" t="str">
        <f aca="false">IF($G159="","",INDEX('Work Master'!$I:$I,$G159))</f>
        <v/>
      </c>
      <c r="G159" s="0" t="str">
        <f aca="false">IFERROR(MATCH(158,'Work Master'!$O:$O,0),"")</f>
        <v/>
      </c>
    </row>
    <row r="160" customFormat="false" ht="15" hidden="false" customHeight="false" outlineLevel="0" collapsed="false">
      <c r="A160" s="10" t="str">
        <f aca="false">IF($G160="","",INDEX('Work Master'!$A:$A,$G160))</f>
        <v/>
      </c>
      <c r="B160" s="10" t="str">
        <f aca="false">IF($G160="","",INDEX('Work Master'!$C:$C,$G160))</f>
        <v/>
      </c>
      <c r="C160" s="10" t="str">
        <f aca="false">IF($G160="","",INDEX('Work Master'!$D:$D,$G160))</f>
        <v/>
      </c>
      <c r="D160" s="15" t="str">
        <f aca="false">IF($G160="","",INDEX('Work Master'!$G:$G,$G160))</f>
        <v/>
      </c>
      <c r="E160" s="10" t="str">
        <f aca="false">IF($G160="","",INDEX('Work Master'!$I:$I,$G160))</f>
        <v/>
      </c>
      <c r="G160" s="0" t="str">
        <f aca="false">IFERROR(MATCH(159,'Work Master'!$O:$O,0),"")</f>
        <v/>
      </c>
    </row>
    <row r="161" customFormat="false" ht="15" hidden="false" customHeight="false" outlineLevel="0" collapsed="false">
      <c r="A161" s="10" t="str">
        <f aca="false">IF($G161="","",INDEX('Work Master'!$A:$A,$G161))</f>
        <v/>
      </c>
      <c r="B161" s="10" t="str">
        <f aca="false">IF($G161="","",INDEX('Work Master'!$C:$C,$G161))</f>
        <v/>
      </c>
      <c r="C161" s="10" t="str">
        <f aca="false">IF($G161="","",INDEX('Work Master'!$D:$D,$G161))</f>
        <v/>
      </c>
      <c r="D161" s="15" t="str">
        <f aca="false">IF($G161="","",INDEX('Work Master'!$G:$G,$G161))</f>
        <v/>
      </c>
      <c r="E161" s="10" t="str">
        <f aca="false">IF($G161="","",INDEX('Work Master'!$I:$I,$G161))</f>
        <v/>
      </c>
      <c r="G161" s="0" t="str">
        <f aca="false">IFERROR(MATCH(160,'Work Master'!$O:$O,0),"")</f>
        <v/>
      </c>
    </row>
    <row r="162" customFormat="false" ht="15" hidden="false" customHeight="false" outlineLevel="0" collapsed="false">
      <c r="A162" s="10" t="str">
        <f aca="false">IF($G162="","",INDEX('Work Master'!$A:$A,$G162))</f>
        <v/>
      </c>
      <c r="B162" s="10" t="str">
        <f aca="false">IF($G162="","",INDEX('Work Master'!$C:$C,$G162))</f>
        <v/>
      </c>
      <c r="C162" s="10" t="str">
        <f aca="false">IF($G162="","",INDEX('Work Master'!$D:$D,$G162))</f>
        <v/>
      </c>
      <c r="D162" s="15" t="str">
        <f aca="false">IF($G162="","",INDEX('Work Master'!$G:$G,$G162))</f>
        <v/>
      </c>
      <c r="E162" s="10" t="str">
        <f aca="false">IF($G162="","",INDEX('Work Master'!$I:$I,$G162))</f>
        <v/>
      </c>
      <c r="G162" s="0" t="str">
        <f aca="false">IFERROR(MATCH(161,'Work Master'!$O:$O,0),"")</f>
        <v/>
      </c>
    </row>
    <row r="163" customFormat="false" ht="15" hidden="false" customHeight="false" outlineLevel="0" collapsed="false">
      <c r="A163" s="10" t="str">
        <f aca="false">IF($G163="","",INDEX('Work Master'!$A:$A,$G163))</f>
        <v/>
      </c>
      <c r="B163" s="10" t="str">
        <f aca="false">IF($G163="","",INDEX('Work Master'!$C:$C,$G163))</f>
        <v/>
      </c>
      <c r="C163" s="10" t="str">
        <f aca="false">IF($G163="","",INDEX('Work Master'!$D:$D,$G163))</f>
        <v/>
      </c>
      <c r="D163" s="15" t="str">
        <f aca="false">IF($G163="","",INDEX('Work Master'!$G:$G,$G163))</f>
        <v/>
      </c>
      <c r="E163" s="10" t="str">
        <f aca="false">IF($G163="","",INDEX('Work Master'!$I:$I,$G163))</f>
        <v/>
      </c>
      <c r="G163" s="0" t="str">
        <f aca="false">IFERROR(MATCH(162,'Work Master'!$O:$O,0),"")</f>
        <v/>
      </c>
    </row>
    <row r="164" customFormat="false" ht="15" hidden="false" customHeight="false" outlineLevel="0" collapsed="false">
      <c r="A164" s="10" t="str">
        <f aca="false">IF($G164="","",INDEX('Work Master'!$A:$A,$G164))</f>
        <v/>
      </c>
      <c r="B164" s="10" t="str">
        <f aca="false">IF($G164="","",INDEX('Work Master'!$C:$C,$G164))</f>
        <v/>
      </c>
      <c r="C164" s="10" t="str">
        <f aca="false">IF($G164="","",INDEX('Work Master'!$D:$D,$G164))</f>
        <v/>
      </c>
      <c r="D164" s="15" t="str">
        <f aca="false">IF($G164="","",INDEX('Work Master'!$G:$G,$G164))</f>
        <v/>
      </c>
      <c r="E164" s="10" t="str">
        <f aca="false">IF($G164="","",INDEX('Work Master'!$I:$I,$G164))</f>
        <v/>
      </c>
      <c r="G164" s="0" t="str">
        <f aca="false">IFERROR(MATCH(163,'Work Master'!$O:$O,0),"")</f>
        <v/>
      </c>
    </row>
    <row r="165" customFormat="false" ht="15" hidden="false" customHeight="false" outlineLevel="0" collapsed="false">
      <c r="A165" s="10" t="str">
        <f aca="false">IF($G165="","",INDEX('Work Master'!$A:$A,$G165))</f>
        <v/>
      </c>
      <c r="B165" s="10" t="str">
        <f aca="false">IF($G165="","",INDEX('Work Master'!$C:$C,$G165))</f>
        <v/>
      </c>
      <c r="C165" s="10" t="str">
        <f aca="false">IF($G165="","",INDEX('Work Master'!$D:$D,$G165))</f>
        <v/>
      </c>
      <c r="D165" s="15" t="str">
        <f aca="false">IF($G165="","",INDEX('Work Master'!$G:$G,$G165))</f>
        <v/>
      </c>
      <c r="E165" s="10" t="str">
        <f aca="false">IF($G165="","",INDEX('Work Master'!$I:$I,$G165))</f>
        <v/>
      </c>
      <c r="G165" s="0" t="str">
        <f aca="false">IFERROR(MATCH(164,'Work Master'!$O:$O,0),"")</f>
        <v/>
      </c>
    </row>
    <row r="166" customFormat="false" ht="15" hidden="false" customHeight="false" outlineLevel="0" collapsed="false">
      <c r="A166" s="10" t="str">
        <f aca="false">IF($G166="","",INDEX('Work Master'!$A:$A,$G166))</f>
        <v/>
      </c>
      <c r="B166" s="10" t="str">
        <f aca="false">IF($G166="","",INDEX('Work Master'!$C:$C,$G166))</f>
        <v/>
      </c>
      <c r="C166" s="10" t="str">
        <f aca="false">IF($G166="","",INDEX('Work Master'!$D:$D,$G166))</f>
        <v/>
      </c>
      <c r="D166" s="15" t="str">
        <f aca="false">IF($G166="","",INDEX('Work Master'!$G:$G,$G166))</f>
        <v/>
      </c>
      <c r="E166" s="10" t="str">
        <f aca="false">IF($G166="","",INDEX('Work Master'!$I:$I,$G166))</f>
        <v/>
      </c>
      <c r="G166" s="0" t="str">
        <f aca="false">IFERROR(MATCH(165,'Work Master'!$O:$O,0),"")</f>
        <v/>
      </c>
    </row>
    <row r="167" customFormat="false" ht="15" hidden="false" customHeight="false" outlineLevel="0" collapsed="false">
      <c r="A167" s="10" t="str">
        <f aca="false">IF($G167="","",INDEX('Work Master'!$A:$A,$G167))</f>
        <v/>
      </c>
      <c r="B167" s="10" t="str">
        <f aca="false">IF($G167="","",INDEX('Work Master'!$C:$C,$G167))</f>
        <v/>
      </c>
      <c r="C167" s="10" t="str">
        <f aca="false">IF($G167="","",INDEX('Work Master'!$D:$D,$G167))</f>
        <v/>
      </c>
      <c r="D167" s="15" t="str">
        <f aca="false">IF($G167="","",INDEX('Work Master'!$G:$G,$G167))</f>
        <v/>
      </c>
      <c r="E167" s="10" t="str">
        <f aca="false">IF($G167="","",INDEX('Work Master'!$I:$I,$G167))</f>
        <v/>
      </c>
      <c r="G167" s="0" t="str">
        <f aca="false">IFERROR(MATCH(166,'Work Master'!$O:$O,0),"")</f>
        <v/>
      </c>
    </row>
    <row r="168" customFormat="false" ht="15" hidden="false" customHeight="false" outlineLevel="0" collapsed="false">
      <c r="A168" s="10" t="str">
        <f aca="false">IF($G168="","",INDEX('Work Master'!$A:$A,$G168))</f>
        <v/>
      </c>
      <c r="B168" s="10" t="str">
        <f aca="false">IF($G168="","",INDEX('Work Master'!$C:$C,$G168))</f>
        <v/>
      </c>
      <c r="C168" s="10" t="str">
        <f aca="false">IF($G168="","",INDEX('Work Master'!$D:$D,$G168))</f>
        <v/>
      </c>
      <c r="D168" s="15" t="str">
        <f aca="false">IF($G168="","",INDEX('Work Master'!$G:$G,$G168))</f>
        <v/>
      </c>
      <c r="E168" s="10" t="str">
        <f aca="false">IF($G168="","",INDEX('Work Master'!$I:$I,$G168))</f>
        <v/>
      </c>
      <c r="G168" s="0" t="str">
        <f aca="false">IFERROR(MATCH(167,'Work Master'!$O:$O,0),"")</f>
        <v/>
      </c>
    </row>
    <row r="169" customFormat="false" ht="15" hidden="false" customHeight="false" outlineLevel="0" collapsed="false">
      <c r="A169" s="10" t="str">
        <f aca="false">IF($G169="","",INDEX('Work Master'!$A:$A,$G169))</f>
        <v/>
      </c>
      <c r="B169" s="10" t="str">
        <f aca="false">IF($G169="","",INDEX('Work Master'!$C:$C,$G169))</f>
        <v/>
      </c>
      <c r="C169" s="10" t="str">
        <f aca="false">IF($G169="","",INDEX('Work Master'!$D:$D,$G169))</f>
        <v/>
      </c>
      <c r="D169" s="15" t="str">
        <f aca="false">IF($G169="","",INDEX('Work Master'!$G:$G,$G169))</f>
        <v/>
      </c>
      <c r="E169" s="10" t="str">
        <f aca="false">IF($G169="","",INDEX('Work Master'!$I:$I,$G169))</f>
        <v/>
      </c>
      <c r="G169" s="0" t="str">
        <f aca="false">IFERROR(MATCH(168,'Work Master'!$O:$O,0),"")</f>
        <v/>
      </c>
    </row>
    <row r="170" customFormat="false" ht="15" hidden="false" customHeight="false" outlineLevel="0" collapsed="false">
      <c r="A170" s="10" t="str">
        <f aca="false">IF($G170="","",INDEX('Work Master'!$A:$A,$G170))</f>
        <v/>
      </c>
      <c r="B170" s="10" t="str">
        <f aca="false">IF($G170="","",INDEX('Work Master'!$C:$C,$G170))</f>
        <v/>
      </c>
      <c r="C170" s="10" t="str">
        <f aca="false">IF($G170="","",INDEX('Work Master'!$D:$D,$G170))</f>
        <v/>
      </c>
      <c r="D170" s="15" t="str">
        <f aca="false">IF($G170="","",INDEX('Work Master'!$G:$G,$G170))</f>
        <v/>
      </c>
      <c r="E170" s="10" t="str">
        <f aca="false">IF($G170="","",INDEX('Work Master'!$I:$I,$G170))</f>
        <v/>
      </c>
      <c r="G170" s="0" t="str">
        <f aca="false">IFERROR(MATCH(169,'Work Master'!$O:$O,0),"")</f>
        <v/>
      </c>
    </row>
    <row r="171" customFormat="false" ht="15" hidden="false" customHeight="false" outlineLevel="0" collapsed="false">
      <c r="A171" s="10" t="str">
        <f aca="false">IF($G171="","",INDEX('Work Master'!$A:$A,$G171))</f>
        <v/>
      </c>
      <c r="B171" s="10" t="str">
        <f aca="false">IF($G171="","",INDEX('Work Master'!$C:$C,$G171))</f>
        <v/>
      </c>
      <c r="C171" s="10" t="str">
        <f aca="false">IF($G171="","",INDEX('Work Master'!$D:$D,$G171))</f>
        <v/>
      </c>
      <c r="D171" s="15" t="str">
        <f aca="false">IF($G171="","",INDEX('Work Master'!$G:$G,$G171))</f>
        <v/>
      </c>
      <c r="E171" s="10" t="str">
        <f aca="false">IF($G171="","",INDEX('Work Master'!$I:$I,$G171))</f>
        <v/>
      </c>
      <c r="G171" s="0" t="str">
        <f aca="false">IFERROR(MATCH(170,'Work Master'!$O:$O,0),"")</f>
        <v/>
      </c>
    </row>
    <row r="172" customFormat="false" ht="15" hidden="false" customHeight="false" outlineLevel="0" collapsed="false">
      <c r="A172" s="10" t="str">
        <f aca="false">IF($G172="","",INDEX('Work Master'!$A:$A,$G172))</f>
        <v/>
      </c>
      <c r="B172" s="10" t="str">
        <f aca="false">IF($G172="","",INDEX('Work Master'!$C:$C,$G172))</f>
        <v/>
      </c>
      <c r="C172" s="10" t="str">
        <f aca="false">IF($G172="","",INDEX('Work Master'!$D:$D,$G172))</f>
        <v/>
      </c>
      <c r="D172" s="15" t="str">
        <f aca="false">IF($G172="","",INDEX('Work Master'!$G:$G,$G172))</f>
        <v/>
      </c>
      <c r="E172" s="10" t="str">
        <f aca="false">IF($G172="","",INDEX('Work Master'!$I:$I,$G172))</f>
        <v/>
      </c>
      <c r="G172" s="0" t="str">
        <f aca="false">IFERROR(MATCH(171,'Work Master'!$O:$O,0),"")</f>
        <v/>
      </c>
    </row>
    <row r="173" customFormat="false" ht="15" hidden="false" customHeight="false" outlineLevel="0" collapsed="false">
      <c r="A173" s="10" t="str">
        <f aca="false">IF($G173="","",INDEX('Work Master'!$A:$A,$G173))</f>
        <v/>
      </c>
      <c r="B173" s="10" t="str">
        <f aca="false">IF($G173="","",INDEX('Work Master'!$C:$C,$G173))</f>
        <v/>
      </c>
      <c r="C173" s="10" t="str">
        <f aca="false">IF($G173="","",INDEX('Work Master'!$D:$D,$G173))</f>
        <v/>
      </c>
      <c r="D173" s="15" t="str">
        <f aca="false">IF($G173="","",INDEX('Work Master'!$G:$G,$G173))</f>
        <v/>
      </c>
      <c r="E173" s="10" t="str">
        <f aca="false">IF($G173="","",INDEX('Work Master'!$I:$I,$G173))</f>
        <v/>
      </c>
      <c r="G173" s="0" t="str">
        <f aca="false">IFERROR(MATCH(172,'Work Master'!$O:$O,0),"")</f>
        <v/>
      </c>
    </row>
    <row r="174" customFormat="false" ht="15" hidden="false" customHeight="false" outlineLevel="0" collapsed="false">
      <c r="A174" s="10" t="str">
        <f aca="false">IF($G174="","",INDEX('Work Master'!$A:$A,$G174))</f>
        <v/>
      </c>
      <c r="B174" s="10" t="str">
        <f aca="false">IF($G174="","",INDEX('Work Master'!$C:$C,$G174))</f>
        <v/>
      </c>
      <c r="C174" s="10" t="str">
        <f aca="false">IF($G174="","",INDEX('Work Master'!$D:$D,$G174))</f>
        <v/>
      </c>
      <c r="D174" s="15" t="str">
        <f aca="false">IF($G174="","",INDEX('Work Master'!$G:$G,$G174))</f>
        <v/>
      </c>
      <c r="E174" s="10" t="str">
        <f aca="false">IF($G174="","",INDEX('Work Master'!$I:$I,$G174))</f>
        <v/>
      </c>
      <c r="G174" s="0" t="str">
        <f aca="false">IFERROR(MATCH(173,'Work Master'!$O:$O,0),"")</f>
        <v/>
      </c>
    </row>
    <row r="175" customFormat="false" ht="15" hidden="false" customHeight="false" outlineLevel="0" collapsed="false">
      <c r="A175" s="10" t="str">
        <f aca="false">IF($G175="","",INDEX('Work Master'!$A:$A,$G175))</f>
        <v/>
      </c>
      <c r="B175" s="10" t="str">
        <f aca="false">IF($G175="","",INDEX('Work Master'!$C:$C,$G175))</f>
        <v/>
      </c>
      <c r="C175" s="10" t="str">
        <f aca="false">IF($G175="","",INDEX('Work Master'!$D:$D,$G175))</f>
        <v/>
      </c>
      <c r="D175" s="15" t="str">
        <f aca="false">IF($G175="","",INDEX('Work Master'!$G:$G,$G175))</f>
        <v/>
      </c>
      <c r="E175" s="10" t="str">
        <f aca="false">IF($G175="","",INDEX('Work Master'!$I:$I,$G175))</f>
        <v/>
      </c>
      <c r="G175" s="0" t="str">
        <f aca="false">IFERROR(MATCH(174,'Work Master'!$O:$O,0),"")</f>
        <v/>
      </c>
    </row>
    <row r="176" customFormat="false" ht="15" hidden="false" customHeight="false" outlineLevel="0" collapsed="false">
      <c r="A176" s="10" t="str">
        <f aca="false">IF($G176="","",INDEX('Work Master'!$A:$A,$G176))</f>
        <v/>
      </c>
      <c r="B176" s="10" t="str">
        <f aca="false">IF($G176="","",INDEX('Work Master'!$C:$C,$G176))</f>
        <v/>
      </c>
      <c r="C176" s="10" t="str">
        <f aca="false">IF($G176="","",INDEX('Work Master'!$D:$D,$G176))</f>
        <v/>
      </c>
      <c r="D176" s="15" t="str">
        <f aca="false">IF($G176="","",INDEX('Work Master'!$G:$G,$G176))</f>
        <v/>
      </c>
      <c r="E176" s="10" t="str">
        <f aca="false">IF($G176="","",INDEX('Work Master'!$I:$I,$G176))</f>
        <v/>
      </c>
      <c r="G176" s="0" t="str">
        <f aca="false">IFERROR(MATCH(175,'Work Master'!$O:$O,0),"")</f>
        <v/>
      </c>
    </row>
    <row r="177" customFormat="false" ht="15" hidden="false" customHeight="false" outlineLevel="0" collapsed="false">
      <c r="A177" s="10" t="str">
        <f aca="false">IF($G177="","",INDEX('Work Master'!$A:$A,$G177))</f>
        <v/>
      </c>
      <c r="B177" s="10" t="str">
        <f aca="false">IF($G177="","",INDEX('Work Master'!$C:$C,$G177))</f>
        <v/>
      </c>
      <c r="C177" s="10" t="str">
        <f aca="false">IF($G177="","",INDEX('Work Master'!$D:$D,$G177))</f>
        <v/>
      </c>
      <c r="D177" s="15" t="str">
        <f aca="false">IF($G177="","",INDEX('Work Master'!$G:$G,$G177))</f>
        <v/>
      </c>
      <c r="E177" s="10" t="str">
        <f aca="false">IF($G177="","",INDEX('Work Master'!$I:$I,$G177))</f>
        <v/>
      </c>
      <c r="G177" s="0" t="str">
        <f aca="false">IFERROR(MATCH(176,'Work Master'!$O:$O,0),"")</f>
        <v/>
      </c>
    </row>
    <row r="178" customFormat="false" ht="15" hidden="false" customHeight="false" outlineLevel="0" collapsed="false">
      <c r="A178" s="10" t="str">
        <f aca="false">IF($G178="","",INDEX('Work Master'!$A:$A,$G178))</f>
        <v/>
      </c>
      <c r="B178" s="10" t="str">
        <f aca="false">IF($G178="","",INDEX('Work Master'!$C:$C,$G178))</f>
        <v/>
      </c>
      <c r="C178" s="10" t="str">
        <f aca="false">IF($G178="","",INDEX('Work Master'!$D:$D,$G178))</f>
        <v/>
      </c>
      <c r="D178" s="15" t="str">
        <f aca="false">IF($G178="","",INDEX('Work Master'!$G:$G,$G178))</f>
        <v/>
      </c>
      <c r="E178" s="10" t="str">
        <f aca="false">IF($G178="","",INDEX('Work Master'!$I:$I,$G178))</f>
        <v/>
      </c>
      <c r="G178" s="0" t="str">
        <f aca="false">IFERROR(MATCH(177,'Work Master'!$O:$O,0),"")</f>
        <v/>
      </c>
    </row>
    <row r="179" customFormat="false" ht="15" hidden="false" customHeight="false" outlineLevel="0" collapsed="false">
      <c r="A179" s="10" t="str">
        <f aca="false">IF($G179="","",INDEX('Work Master'!$A:$A,$G179))</f>
        <v/>
      </c>
      <c r="B179" s="10" t="str">
        <f aca="false">IF($G179="","",INDEX('Work Master'!$C:$C,$G179))</f>
        <v/>
      </c>
      <c r="C179" s="10" t="str">
        <f aca="false">IF($G179="","",INDEX('Work Master'!$D:$D,$G179))</f>
        <v/>
      </c>
      <c r="D179" s="15" t="str">
        <f aca="false">IF($G179="","",INDEX('Work Master'!$G:$G,$G179))</f>
        <v/>
      </c>
      <c r="E179" s="10" t="str">
        <f aca="false">IF($G179="","",INDEX('Work Master'!$I:$I,$G179))</f>
        <v/>
      </c>
      <c r="G179" s="0" t="str">
        <f aca="false">IFERROR(MATCH(178,'Work Master'!$O:$O,0),"")</f>
        <v/>
      </c>
    </row>
    <row r="180" customFormat="false" ht="15" hidden="false" customHeight="false" outlineLevel="0" collapsed="false">
      <c r="A180" s="10" t="str">
        <f aca="false">IF($G180="","",INDEX('Work Master'!$A:$A,$G180))</f>
        <v/>
      </c>
      <c r="B180" s="10" t="str">
        <f aca="false">IF($G180="","",INDEX('Work Master'!$C:$C,$G180))</f>
        <v/>
      </c>
      <c r="C180" s="10" t="str">
        <f aca="false">IF($G180="","",INDEX('Work Master'!$D:$D,$G180))</f>
        <v/>
      </c>
      <c r="D180" s="15" t="str">
        <f aca="false">IF($G180="","",INDEX('Work Master'!$G:$G,$G180))</f>
        <v/>
      </c>
      <c r="E180" s="10" t="str">
        <f aca="false">IF($G180="","",INDEX('Work Master'!$I:$I,$G180))</f>
        <v/>
      </c>
      <c r="G180" s="0" t="str">
        <f aca="false">IFERROR(MATCH(179,'Work Master'!$O:$O,0),"")</f>
        <v/>
      </c>
    </row>
    <row r="181" customFormat="false" ht="15" hidden="false" customHeight="false" outlineLevel="0" collapsed="false">
      <c r="A181" s="10" t="str">
        <f aca="false">IF($G181="","",INDEX('Work Master'!$A:$A,$G181))</f>
        <v/>
      </c>
      <c r="B181" s="10" t="str">
        <f aca="false">IF($G181="","",INDEX('Work Master'!$C:$C,$G181))</f>
        <v/>
      </c>
      <c r="C181" s="10" t="str">
        <f aca="false">IF($G181="","",INDEX('Work Master'!$D:$D,$G181))</f>
        <v/>
      </c>
      <c r="D181" s="15" t="str">
        <f aca="false">IF($G181="","",INDEX('Work Master'!$G:$G,$G181))</f>
        <v/>
      </c>
      <c r="E181" s="10" t="str">
        <f aca="false">IF($G181="","",INDEX('Work Master'!$I:$I,$G181))</f>
        <v/>
      </c>
      <c r="G181" s="0" t="str">
        <f aca="false">IFERROR(MATCH(180,'Work Master'!$O:$O,0),"")</f>
        <v/>
      </c>
    </row>
    <row r="182" customFormat="false" ht="15" hidden="false" customHeight="false" outlineLevel="0" collapsed="false">
      <c r="A182" s="10" t="str">
        <f aca="false">IF($G182="","",INDEX('Work Master'!$A:$A,$G182))</f>
        <v/>
      </c>
      <c r="B182" s="10" t="str">
        <f aca="false">IF($G182="","",INDEX('Work Master'!$C:$C,$G182))</f>
        <v/>
      </c>
      <c r="C182" s="10" t="str">
        <f aca="false">IF($G182="","",INDEX('Work Master'!$D:$D,$G182))</f>
        <v/>
      </c>
      <c r="D182" s="15" t="str">
        <f aca="false">IF($G182="","",INDEX('Work Master'!$G:$G,$G182))</f>
        <v/>
      </c>
      <c r="E182" s="10" t="str">
        <f aca="false">IF($G182="","",INDEX('Work Master'!$I:$I,$G182))</f>
        <v/>
      </c>
      <c r="G182" s="0" t="str">
        <f aca="false">IFERROR(MATCH(181,'Work Master'!$O:$O,0),"")</f>
        <v/>
      </c>
    </row>
    <row r="183" customFormat="false" ht="15" hidden="false" customHeight="false" outlineLevel="0" collapsed="false">
      <c r="A183" s="10" t="str">
        <f aca="false">IF($G183="","",INDEX('Work Master'!$A:$A,$G183))</f>
        <v/>
      </c>
      <c r="B183" s="10" t="str">
        <f aca="false">IF($G183="","",INDEX('Work Master'!$C:$C,$G183))</f>
        <v/>
      </c>
      <c r="C183" s="10" t="str">
        <f aca="false">IF($G183="","",INDEX('Work Master'!$D:$D,$G183))</f>
        <v/>
      </c>
      <c r="D183" s="15" t="str">
        <f aca="false">IF($G183="","",INDEX('Work Master'!$G:$G,$G183))</f>
        <v/>
      </c>
      <c r="E183" s="10" t="str">
        <f aca="false">IF($G183="","",INDEX('Work Master'!$I:$I,$G183))</f>
        <v/>
      </c>
      <c r="G183" s="0" t="str">
        <f aca="false">IFERROR(MATCH(182,'Work Master'!$O:$O,0),"")</f>
        <v/>
      </c>
    </row>
    <row r="184" customFormat="false" ht="15" hidden="false" customHeight="false" outlineLevel="0" collapsed="false">
      <c r="A184" s="10" t="str">
        <f aca="false">IF($G184="","",INDEX('Work Master'!$A:$A,$G184))</f>
        <v/>
      </c>
      <c r="B184" s="10" t="str">
        <f aca="false">IF($G184="","",INDEX('Work Master'!$C:$C,$G184))</f>
        <v/>
      </c>
      <c r="C184" s="10" t="str">
        <f aca="false">IF($G184="","",INDEX('Work Master'!$D:$D,$G184))</f>
        <v/>
      </c>
      <c r="D184" s="15" t="str">
        <f aca="false">IF($G184="","",INDEX('Work Master'!$G:$G,$G184))</f>
        <v/>
      </c>
      <c r="E184" s="10" t="str">
        <f aca="false">IF($G184="","",INDEX('Work Master'!$I:$I,$G184))</f>
        <v/>
      </c>
      <c r="G184" s="0" t="str">
        <f aca="false">IFERROR(MATCH(183,'Work Master'!$O:$O,0),"")</f>
        <v/>
      </c>
    </row>
    <row r="185" customFormat="false" ht="15" hidden="false" customHeight="false" outlineLevel="0" collapsed="false">
      <c r="A185" s="10" t="str">
        <f aca="false">IF($G185="","",INDEX('Work Master'!$A:$A,$G185))</f>
        <v/>
      </c>
      <c r="B185" s="10" t="str">
        <f aca="false">IF($G185="","",INDEX('Work Master'!$C:$C,$G185))</f>
        <v/>
      </c>
      <c r="C185" s="10" t="str">
        <f aca="false">IF($G185="","",INDEX('Work Master'!$D:$D,$G185))</f>
        <v/>
      </c>
      <c r="D185" s="15" t="str">
        <f aca="false">IF($G185="","",INDEX('Work Master'!$G:$G,$G185))</f>
        <v/>
      </c>
      <c r="E185" s="10" t="str">
        <f aca="false">IF($G185="","",INDEX('Work Master'!$I:$I,$G185))</f>
        <v/>
      </c>
      <c r="G185" s="0" t="str">
        <f aca="false">IFERROR(MATCH(184,'Work Master'!$O:$O,0),"")</f>
        <v/>
      </c>
    </row>
    <row r="186" customFormat="false" ht="15" hidden="false" customHeight="false" outlineLevel="0" collapsed="false">
      <c r="A186" s="10" t="str">
        <f aca="false">IF($G186="","",INDEX('Work Master'!$A:$A,$G186))</f>
        <v/>
      </c>
      <c r="B186" s="10" t="str">
        <f aca="false">IF($G186="","",INDEX('Work Master'!$C:$C,$G186))</f>
        <v/>
      </c>
      <c r="C186" s="10" t="str">
        <f aca="false">IF($G186="","",INDEX('Work Master'!$D:$D,$G186))</f>
        <v/>
      </c>
      <c r="D186" s="15" t="str">
        <f aca="false">IF($G186="","",INDEX('Work Master'!$G:$G,$G186))</f>
        <v/>
      </c>
      <c r="E186" s="10" t="str">
        <f aca="false">IF($G186="","",INDEX('Work Master'!$I:$I,$G186))</f>
        <v/>
      </c>
      <c r="G186" s="0" t="str">
        <f aca="false">IFERROR(MATCH(185,'Work Master'!$O:$O,0),"")</f>
        <v/>
      </c>
    </row>
    <row r="187" customFormat="false" ht="15" hidden="false" customHeight="false" outlineLevel="0" collapsed="false">
      <c r="A187" s="10" t="str">
        <f aca="false">IF($G187="","",INDEX('Work Master'!$A:$A,$G187))</f>
        <v/>
      </c>
      <c r="B187" s="10" t="str">
        <f aca="false">IF($G187="","",INDEX('Work Master'!$C:$C,$G187))</f>
        <v/>
      </c>
      <c r="C187" s="10" t="str">
        <f aca="false">IF($G187="","",INDEX('Work Master'!$D:$D,$G187))</f>
        <v/>
      </c>
      <c r="D187" s="15" t="str">
        <f aca="false">IF($G187="","",INDEX('Work Master'!$G:$G,$G187))</f>
        <v/>
      </c>
      <c r="E187" s="10" t="str">
        <f aca="false">IF($G187="","",INDEX('Work Master'!$I:$I,$G187))</f>
        <v/>
      </c>
      <c r="G187" s="0" t="str">
        <f aca="false">IFERROR(MATCH(186,'Work Master'!$O:$O,0),"")</f>
        <v/>
      </c>
    </row>
    <row r="188" customFormat="false" ht="15" hidden="false" customHeight="false" outlineLevel="0" collapsed="false">
      <c r="A188" s="10" t="str">
        <f aca="false">IF($G188="","",INDEX('Work Master'!$A:$A,$G188))</f>
        <v/>
      </c>
      <c r="B188" s="10" t="str">
        <f aca="false">IF($G188="","",INDEX('Work Master'!$C:$C,$G188))</f>
        <v/>
      </c>
      <c r="C188" s="10" t="str">
        <f aca="false">IF($G188="","",INDEX('Work Master'!$D:$D,$G188))</f>
        <v/>
      </c>
      <c r="D188" s="15" t="str">
        <f aca="false">IF($G188="","",INDEX('Work Master'!$G:$G,$G188))</f>
        <v/>
      </c>
      <c r="E188" s="10" t="str">
        <f aca="false">IF($G188="","",INDEX('Work Master'!$I:$I,$G188))</f>
        <v/>
      </c>
      <c r="G188" s="0" t="str">
        <f aca="false">IFERROR(MATCH(187,'Work Master'!$O:$O,0),"")</f>
        <v/>
      </c>
    </row>
    <row r="189" customFormat="false" ht="15" hidden="false" customHeight="false" outlineLevel="0" collapsed="false">
      <c r="A189" s="10" t="str">
        <f aca="false">IF($G189="","",INDEX('Work Master'!$A:$A,$G189))</f>
        <v/>
      </c>
      <c r="B189" s="10" t="str">
        <f aca="false">IF($G189="","",INDEX('Work Master'!$C:$C,$G189))</f>
        <v/>
      </c>
      <c r="C189" s="10" t="str">
        <f aca="false">IF($G189="","",INDEX('Work Master'!$D:$D,$G189))</f>
        <v/>
      </c>
      <c r="D189" s="15" t="str">
        <f aca="false">IF($G189="","",INDEX('Work Master'!$G:$G,$G189))</f>
        <v/>
      </c>
      <c r="E189" s="10" t="str">
        <f aca="false">IF($G189="","",INDEX('Work Master'!$I:$I,$G189))</f>
        <v/>
      </c>
      <c r="G189" s="0" t="str">
        <f aca="false">IFERROR(MATCH(188,'Work Master'!$O:$O,0),"")</f>
        <v/>
      </c>
    </row>
    <row r="190" customFormat="false" ht="15" hidden="false" customHeight="false" outlineLevel="0" collapsed="false">
      <c r="A190" s="10" t="str">
        <f aca="false">IF($G190="","",INDEX('Work Master'!$A:$A,$G190))</f>
        <v/>
      </c>
      <c r="B190" s="10" t="str">
        <f aca="false">IF($G190="","",INDEX('Work Master'!$C:$C,$G190))</f>
        <v/>
      </c>
      <c r="C190" s="10" t="str">
        <f aca="false">IF($G190="","",INDEX('Work Master'!$D:$D,$G190))</f>
        <v/>
      </c>
      <c r="D190" s="15" t="str">
        <f aca="false">IF($G190="","",INDEX('Work Master'!$G:$G,$G190))</f>
        <v/>
      </c>
      <c r="E190" s="10" t="str">
        <f aca="false">IF($G190="","",INDEX('Work Master'!$I:$I,$G190))</f>
        <v/>
      </c>
      <c r="G190" s="0" t="str">
        <f aca="false">IFERROR(MATCH(189,'Work Master'!$O:$O,0),"")</f>
        <v/>
      </c>
    </row>
    <row r="191" customFormat="false" ht="15" hidden="false" customHeight="false" outlineLevel="0" collapsed="false">
      <c r="A191" s="10" t="str">
        <f aca="false">IF($G191="","",INDEX('Work Master'!$A:$A,$G191))</f>
        <v/>
      </c>
      <c r="B191" s="10" t="str">
        <f aca="false">IF($G191="","",INDEX('Work Master'!$C:$C,$G191))</f>
        <v/>
      </c>
      <c r="C191" s="10" t="str">
        <f aca="false">IF($G191="","",INDEX('Work Master'!$D:$D,$G191))</f>
        <v/>
      </c>
      <c r="D191" s="15" t="str">
        <f aca="false">IF($G191="","",INDEX('Work Master'!$G:$G,$G191))</f>
        <v/>
      </c>
      <c r="E191" s="10" t="str">
        <f aca="false">IF($G191="","",INDEX('Work Master'!$I:$I,$G191))</f>
        <v/>
      </c>
      <c r="G191" s="0" t="str">
        <f aca="false">IFERROR(MATCH(190,'Work Master'!$O:$O,0),"")</f>
        <v/>
      </c>
    </row>
    <row r="192" customFormat="false" ht="15" hidden="false" customHeight="false" outlineLevel="0" collapsed="false">
      <c r="A192" s="10" t="str">
        <f aca="false">IF($G192="","",INDEX('Work Master'!$A:$A,$G192))</f>
        <v/>
      </c>
      <c r="B192" s="10" t="str">
        <f aca="false">IF($G192="","",INDEX('Work Master'!$C:$C,$G192))</f>
        <v/>
      </c>
      <c r="C192" s="10" t="str">
        <f aca="false">IF($G192="","",INDEX('Work Master'!$D:$D,$G192))</f>
        <v/>
      </c>
      <c r="D192" s="15" t="str">
        <f aca="false">IF($G192="","",INDEX('Work Master'!$G:$G,$G192))</f>
        <v/>
      </c>
      <c r="E192" s="10" t="str">
        <f aca="false">IF($G192="","",INDEX('Work Master'!$I:$I,$G192))</f>
        <v/>
      </c>
      <c r="G192" s="0" t="str">
        <f aca="false">IFERROR(MATCH(191,'Work Master'!$O:$O,0),"")</f>
        <v/>
      </c>
    </row>
    <row r="193" customFormat="false" ht="15" hidden="false" customHeight="false" outlineLevel="0" collapsed="false">
      <c r="A193" s="10" t="str">
        <f aca="false">IF($G193="","",INDEX('Work Master'!$A:$A,$G193))</f>
        <v/>
      </c>
      <c r="B193" s="10" t="str">
        <f aca="false">IF($G193="","",INDEX('Work Master'!$C:$C,$G193))</f>
        <v/>
      </c>
      <c r="C193" s="10" t="str">
        <f aca="false">IF($G193="","",INDEX('Work Master'!$D:$D,$G193))</f>
        <v/>
      </c>
      <c r="D193" s="15" t="str">
        <f aca="false">IF($G193="","",INDEX('Work Master'!$G:$G,$G193))</f>
        <v/>
      </c>
      <c r="E193" s="10" t="str">
        <f aca="false">IF($G193="","",INDEX('Work Master'!$I:$I,$G193))</f>
        <v/>
      </c>
      <c r="G193" s="0" t="str">
        <f aca="false">IFERROR(MATCH(192,'Work Master'!$O:$O,0),"")</f>
        <v/>
      </c>
    </row>
    <row r="194" customFormat="false" ht="15" hidden="false" customHeight="false" outlineLevel="0" collapsed="false">
      <c r="A194" s="10" t="str">
        <f aca="false">IF($G194="","",INDEX('Work Master'!$A:$A,$G194))</f>
        <v/>
      </c>
      <c r="B194" s="10" t="str">
        <f aca="false">IF($G194="","",INDEX('Work Master'!$C:$C,$G194))</f>
        <v/>
      </c>
      <c r="C194" s="10" t="str">
        <f aca="false">IF($G194="","",INDEX('Work Master'!$D:$D,$G194))</f>
        <v/>
      </c>
      <c r="D194" s="15" t="str">
        <f aca="false">IF($G194="","",INDEX('Work Master'!$G:$G,$G194))</f>
        <v/>
      </c>
      <c r="E194" s="10" t="str">
        <f aca="false">IF($G194="","",INDEX('Work Master'!$I:$I,$G194))</f>
        <v/>
      </c>
      <c r="G194" s="0" t="str">
        <f aca="false">IFERROR(MATCH(193,'Work Master'!$O:$O,0),"")</f>
        <v/>
      </c>
    </row>
    <row r="195" customFormat="false" ht="15" hidden="false" customHeight="false" outlineLevel="0" collapsed="false">
      <c r="A195" s="10" t="str">
        <f aca="false">IF($G195="","",INDEX('Work Master'!$A:$A,$G195))</f>
        <v/>
      </c>
      <c r="B195" s="10" t="str">
        <f aca="false">IF($G195="","",INDEX('Work Master'!$C:$C,$G195))</f>
        <v/>
      </c>
      <c r="C195" s="10" t="str">
        <f aca="false">IF($G195="","",INDEX('Work Master'!$D:$D,$G195))</f>
        <v/>
      </c>
      <c r="D195" s="15" t="str">
        <f aca="false">IF($G195="","",INDEX('Work Master'!$G:$G,$G195))</f>
        <v/>
      </c>
      <c r="E195" s="10" t="str">
        <f aca="false">IF($G195="","",INDEX('Work Master'!$I:$I,$G195))</f>
        <v/>
      </c>
      <c r="G195" s="0" t="str">
        <f aca="false">IFERROR(MATCH(194,'Work Master'!$O:$O,0),"")</f>
        <v/>
      </c>
    </row>
    <row r="196" customFormat="false" ht="15" hidden="false" customHeight="false" outlineLevel="0" collapsed="false">
      <c r="A196" s="10" t="str">
        <f aca="false">IF($G196="","",INDEX('Work Master'!$A:$A,$G196))</f>
        <v/>
      </c>
      <c r="B196" s="10" t="str">
        <f aca="false">IF($G196="","",INDEX('Work Master'!$C:$C,$G196))</f>
        <v/>
      </c>
      <c r="C196" s="10" t="str">
        <f aca="false">IF($G196="","",INDEX('Work Master'!$D:$D,$G196))</f>
        <v/>
      </c>
      <c r="D196" s="15" t="str">
        <f aca="false">IF($G196="","",INDEX('Work Master'!$G:$G,$G196))</f>
        <v/>
      </c>
      <c r="E196" s="10" t="str">
        <f aca="false">IF($G196="","",INDEX('Work Master'!$I:$I,$G196))</f>
        <v/>
      </c>
      <c r="G196" s="0" t="str">
        <f aca="false">IFERROR(MATCH(195,'Work Master'!$O:$O,0),"")</f>
        <v/>
      </c>
    </row>
    <row r="197" customFormat="false" ht="15" hidden="false" customHeight="false" outlineLevel="0" collapsed="false">
      <c r="A197" s="10" t="str">
        <f aca="false">IF($G197="","",INDEX('Work Master'!$A:$A,$G197))</f>
        <v/>
      </c>
      <c r="B197" s="10" t="str">
        <f aca="false">IF($G197="","",INDEX('Work Master'!$C:$C,$G197))</f>
        <v/>
      </c>
      <c r="C197" s="10" t="str">
        <f aca="false">IF($G197="","",INDEX('Work Master'!$D:$D,$G197))</f>
        <v/>
      </c>
      <c r="D197" s="15" t="str">
        <f aca="false">IF($G197="","",INDEX('Work Master'!$G:$G,$G197))</f>
        <v/>
      </c>
      <c r="E197" s="10" t="str">
        <f aca="false">IF($G197="","",INDEX('Work Master'!$I:$I,$G197))</f>
        <v/>
      </c>
      <c r="G197" s="0" t="str">
        <f aca="false">IFERROR(MATCH(196,'Work Master'!$O:$O,0),"")</f>
        <v/>
      </c>
    </row>
    <row r="198" customFormat="false" ht="15" hidden="false" customHeight="false" outlineLevel="0" collapsed="false">
      <c r="A198" s="10" t="str">
        <f aca="false">IF($G198="","",INDEX('Work Master'!$A:$A,$G198))</f>
        <v/>
      </c>
      <c r="B198" s="10" t="str">
        <f aca="false">IF($G198="","",INDEX('Work Master'!$C:$C,$G198))</f>
        <v/>
      </c>
      <c r="C198" s="10" t="str">
        <f aca="false">IF($G198="","",INDEX('Work Master'!$D:$D,$G198))</f>
        <v/>
      </c>
      <c r="D198" s="15" t="str">
        <f aca="false">IF($G198="","",INDEX('Work Master'!$G:$G,$G198))</f>
        <v/>
      </c>
      <c r="E198" s="10" t="str">
        <f aca="false">IF($G198="","",INDEX('Work Master'!$I:$I,$G198))</f>
        <v/>
      </c>
      <c r="G198" s="0" t="str">
        <f aca="false">IFERROR(MATCH(197,'Work Master'!$O:$O,0),"")</f>
        <v/>
      </c>
    </row>
    <row r="199" customFormat="false" ht="15" hidden="false" customHeight="false" outlineLevel="0" collapsed="false">
      <c r="A199" s="10" t="str">
        <f aca="false">IF($G199="","",INDEX('Work Master'!$A:$A,$G199))</f>
        <v/>
      </c>
      <c r="B199" s="10" t="str">
        <f aca="false">IF($G199="","",INDEX('Work Master'!$C:$C,$G199))</f>
        <v/>
      </c>
      <c r="C199" s="10" t="str">
        <f aca="false">IF($G199="","",INDEX('Work Master'!$D:$D,$G199))</f>
        <v/>
      </c>
      <c r="D199" s="15" t="str">
        <f aca="false">IF($G199="","",INDEX('Work Master'!$G:$G,$G199))</f>
        <v/>
      </c>
      <c r="E199" s="10" t="str">
        <f aca="false">IF($G199="","",INDEX('Work Master'!$I:$I,$G199))</f>
        <v/>
      </c>
      <c r="G199" s="0" t="str">
        <f aca="false">IFERROR(MATCH(198,'Work Master'!$O:$O,0),"")</f>
        <v/>
      </c>
    </row>
    <row r="200" customFormat="false" ht="15" hidden="false" customHeight="false" outlineLevel="0" collapsed="false">
      <c r="A200" s="10" t="str">
        <f aca="false">IF($G200="","",INDEX('Work Master'!$A:$A,$G200))</f>
        <v/>
      </c>
      <c r="B200" s="10" t="str">
        <f aca="false">IF($G200="","",INDEX('Work Master'!$C:$C,$G200))</f>
        <v/>
      </c>
      <c r="C200" s="10" t="str">
        <f aca="false">IF($G200="","",INDEX('Work Master'!$D:$D,$G200))</f>
        <v/>
      </c>
      <c r="D200" s="15" t="str">
        <f aca="false">IF($G200="","",INDEX('Work Master'!$G:$G,$G200))</f>
        <v/>
      </c>
      <c r="E200" s="10" t="str">
        <f aca="false">IF($G200="","",INDEX('Work Master'!$I:$I,$G200))</f>
        <v/>
      </c>
      <c r="G200" s="0" t="str">
        <f aca="false">IFERROR(MATCH(199,'Work Master'!$O:$O,0),"")</f>
        <v/>
      </c>
    </row>
    <row r="201" customFormat="false" ht="15" hidden="false" customHeight="false" outlineLevel="0" collapsed="false">
      <c r="A201" s="10" t="str">
        <f aca="false">IF($G201="","",INDEX('Work Master'!$A:$A,$G201))</f>
        <v/>
      </c>
      <c r="B201" s="10" t="str">
        <f aca="false">IF($G201="","",INDEX('Work Master'!$C:$C,$G201))</f>
        <v/>
      </c>
      <c r="C201" s="10" t="str">
        <f aca="false">IF($G201="","",INDEX('Work Master'!$D:$D,$G201))</f>
        <v/>
      </c>
      <c r="D201" s="15" t="str">
        <f aca="false">IF($G201="","",INDEX('Work Master'!$G:$G,$G201))</f>
        <v/>
      </c>
      <c r="E201" s="10" t="str">
        <f aca="false">IF($G201="","",INDEX('Work Master'!$I:$I,$G201))</f>
        <v/>
      </c>
      <c r="G201" s="0" t="str">
        <f aca="false">IFERROR(MATCH(200,'Work Master'!$O:$O,0),"")</f>
        <v/>
      </c>
    </row>
    <row r="203" customFormat="false" ht="15" hidden="false" customHeight="false" outlineLevel="0" collapsed="false">
      <c r="B203" s="16" t="s">
        <v>65</v>
      </c>
      <c r="C203" s="16" t="n">
        <f aca="false">COUNTIF('Work Master'!$F:$F,"Not Started")</f>
        <v>1</v>
      </c>
    </row>
    <row r="205" customFormat="false" ht="15" hidden="false" customHeight="false" outlineLevel="0" collapsed="false">
      <c r="A205" s="17" t="s">
        <v>63</v>
      </c>
    </row>
  </sheetData>
  <sheetProtection sheet="true" formatCells="false" selectLockedCells="true" sort="false" autoFilter="false" selectUnlockedCells="true"/>
  <autoFilter ref="A1:E2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6" min="5" style="0" width="12"/>
    <col collapsed="false" customWidth="true" hidden="true" outlineLevel="0" max="8" min="8" style="0" width="13"/>
  </cols>
  <sheetData>
    <row r="1" customFormat="false" ht="15" hidden="false" customHeight="false" outlineLevel="0" collapsed="false">
      <c r="A1" s="8" t="s">
        <v>34</v>
      </c>
      <c r="B1" s="8" t="s">
        <v>35</v>
      </c>
      <c r="C1" s="8" t="s">
        <v>36</v>
      </c>
      <c r="D1" s="8" t="s">
        <v>38</v>
      </c>
      <c r="E1" s="8" t="s">
        <v>42</v>
      </c>
      <c r="F1" s="8" t="s">
        <v>39</v>
      </c>
      <c r="H1" s="14" t="s">
        <v>66</v>
      </c>
    </row>
    <row r="2" customFormat="false" ht="15" hidden="false" customHeight="false" outlineLevel="0" collapsed="false">
      <c r="A2" s="10" t="str">
        <f aca="false">IF($H2="","",INDEX('Work Master'!$A:$A,$H2))</f>
        <v>2627-W001</v>
      </c>
      <c r="B2" s="10" t="str">
        <f aca="false">IF($H2="","",INDEX('Work Master'!$C:$C,$H2))</f>
        <v>Sample Traders (example row)</v>
      </c>
      <c r="C2" s="10" t="str">
        <f aca="false">IF($H2="","",INDEX('Work Master'!$D:$D,$H2))</f>
        <v>GST Return - GSTR-3B</v>
      </c>
      <c r="D2" s="10" t="str">
        <f aca="false">IF($H2="","",INDEX('Work Master'!$F:$F,$H2))</f>
        <v>In Progress</v>
      </c>
      <c r="E2" s="18" t="n">
        <f aca="false">IF($H2="","",INDEX('Work Master'!$J:$J,$H2))</f>
        <v>2000</v>
      </c>
      <c r="F2" s="15" t="n">
        <f aca="false">IF($H2="","",INDEX('Work Master'!$G:$G,$H2))</f>
        <v>46223</v>
      </c>
      <c r="H2" s="13" t="n">
        <f aca="false">IFERROR(MATCH(1,'Work Master'!$N:$N,0),"")</f>
        <v>2</v>
      </c>
    </row>
    <row r="3" customFormat="false" ht="15" hidden="false" customHeight="false" outlineLevel="0" collapsed="false">
      <c r="A3" s="10" t="str">
        <f aca="false">IF($H3="","",INDEX('Work Master'!$A:$A,$H3))</f>
        <v>2627-W002</v>
      </c>
      <c r="B3" s="10" t="str">
        <f aca="false">IF($H3="","",INDEX('Work Master'!$C:$C,$H3))</f>
        <v>Sample Traders (example row)</v>
      </c>
      <c r="C3" s="10" t="str">
        <f aca="false">IF($H3="","",INDEX('Work Master'!$D:$D,$H3))</f>
        <v>Income Tax Return</v>
      </c>
      <c r="D3" s="10" t="str">
        <f aca="false">IF($H3="","",INDEX('Work Master'!$F:$F,$H3))</f>
        <v>Not Started</v>
      </c>
      <c r="E3" s="18" t="n">
        <f aca="false">IF($H3="","",INDEX('Work Master'!$J:$J,$H3))</f>
        <v>5000</v>
      </c>
      <c r="F3" s="15" t="n">
        <f aca="false">IF($H3="","",INDEX('Work Master'!$G:$G,$H3))</f>
        <v>46265</v>
      </c>
      <c r="H3" s="13" t="n">
        <f aca="false">IFERROR(MATCH(2,'Work Master'!$N:$N,0),"")</f>
        <v>3</v>
      </c>
    </row>
    <row r="4" customFormat="false" ht="15" hidden="false" customHeight="false" outlineLevel="0" collapsed="false">
      <c r="A4" s="10" t="str">
        <f aca="false">IF($H4="","",INDEX('Work Master'!$A:$A,$H4))</f>
        <v/>
      </c>
      <c r="B4" s="10" t="str">
        <f aca="false">IF($H4="","",INDEX('Work Master'!$C:$C,$H4))</f>
        <v/>
      </c>
      <c r="C4" s="10" t="str">
        <f aca="false">IF($H4="","",INDEX('Work Master'!$D:$D,$H4))</f>
        <v/>
      </c>
      <c r="D4" s="10" t="str">
        <f aca="false">IF($H4="","",INDEX('Work Master'!$F:$F,$H4))</f>
        <v/>
      </c>
      <c r="E4" s="18" t="str">
        <f aca="false">IF($H4="","",INDEX('Work Master'!$J:$J,$H4))</f>
        <v/>
      </c>
      <c r="F4" s="15" t="str">
        <f aca="false">IF($H4="","",INDEX('Work Master'!$G:$G,$H4))</f>
        <v/>
      </c>
      <c r="H4" s="0" t="str">
        <f aca="false">IFERROR(MATCH(3,'Work Master'!$N:$N,0),"")</f>
        <v/>
      </c>
    </row>
    <row r="5" customFormat="false" ht="15" hidden="false" customHeight="false" outlineLevel="0" collapsed="false">
      <c r="A5" s="10" t="str">
        <f aca="false">IF($H5="","",INDEX('Work Master'!$A:$A,$H5))</f>
        <v/>
      </c>
      <c r="B5" s="10" t="str">
        <f aca="false">IF($H5="","",INDEX('Work Master'!$C:$C,$H5))</f>
        <v/>
      </c>
      <c r="C5" s="10" t="str">
        <f aca="false">IF($H5="","",INDEX('Work Master'!$D:$D,$H5))</f>
        <v/>
      </c>
      <c r="D5" s="10" t="str">
        <f aca="false">IF($H5="","",INDEX('Work Master'!$F:$F,$H5))</f>
        <v/>
      </c>
      <c r="E5" s="18" t="str">
        <f aca="false">IF($H5="","",INDEX('Work Master'!$J:$J,$H5))</f>
        <v/>
      </c>
      <c r="F5" s="15" t="str">
        <f aca="false">IF($H5="","",INDEX('Work Master'!$G:$G,$H5))</f>
        <v/>
      </c>
      <c r="H5" s="0" t="str">
        <f aca="false">IFERROR(MATCH(4,'Work Master'!$N:$N,0),"")</f>
        <v/>
      </c>
    </row>
    <row r="6" customFormat="false" ht="15" hidden="false" customHeight="false" outlineLevel="0" collapsed="false">
      <c r="A6" s="10" t="str">
        <f aca="false">IF($H6="","",INDEX('Work Master'!$A:$A,$H6))</f>
        <v/>
      </c>
      <c r="B6" s="10" t="str">
        <f aca="false">IF($H6="","",INDEX('Work Master'!$C:$C,$H6))</f>
        <v/>
      </c>
      <c r="C6" s="10" t="str">
        <f aca="false">IF($H6="","",INDEX('Work Master'!$D:$D,$H6))</f>
        <v/>
      </c>
      <c r="D6" s="10" t="str">
        <f aca="false">IF($H6="","",INDEX('Work Master'!$F:$F,$H6))</f>
        <v/>
      </c>
      <c r="E6" s="18" t="str">
        <f aca="false">IF($H6="","",INDEX('Work Master'!$J:$J,$H6))</f>
        <v/>
      </c>
      <c r="F6" s="15" t="str">
        <f aca="false">IF($H6="","",INDEX('Work Master'!$G:$G,$H6))</f>
        <v/>
      </c>
      <c r="H6" s="0" t="str">
        <f aca="false">IFERROR(MATCH(5,'Work Master'!$N:$N,0),"")</f>
        <v/>
      </c>
    </row>
    <row r="7" customFormat="false" ht="15" hidden="false" customHeight="false" outlineLevel="0" collapsed="false">
      <c r="A7" s="10" t="str">
        <f aca="false">IF($H7="","",INDEX('Work Master'!$A:$A,$H7))</f>
        <v/>
      </c>
      <c r="B7" s="10" t="str">
        <f aca="false">IF($H7="","",INDEX('Work Master'!$C:$C,$H7))</f>
        <v/>
      </c>
      <c r="C7" s="10" t="str">
        <f aca="false">IF($H7="","",INDEX('Work Master'!$D:$D,$H7))</f>
        <v/>
      </c>
      <c r="D7" s="10" t="str">
        <f aca="false">IF($H7="","",INDEX('Work Master'!$F:$F,$H7))</f>
        <v/>
      </c>
      <c r="E7" s="18" t="str">
        <f aca="false">IF($H7="","",INDEX('Work Master'!$J:$J,$H7))</f>
        <v/>
      </c>
      <c r="F7" s="15" t="str">
        <f aca="false">IF($H7="","",INDEX('Work Master'!$G:$G,$H7))</f>
        <v/>
      </c>
      <c r="H7" s="0" t="str">
        <f aca="false">IFERROR(MATCH(6,'Work Master'!$N:$N,0),"")</f>
        <v/>
      </c>
    </row>
    <row r="8" customFormat="false" ht="15" hidden="false" customHeight="false" outlineLevel="0" collapsed="false">
      <c r="A8" s="10" t="str">
        <f aca="false">IF($H8="","",INDEX('Work Master'!$A:$A,$H8))</f>
        <v/>
      </c>
      <c r="B8" s="10" t="str">
        <f aca="false">IF($H8="","",INDEX('Work Master'!$C:$C,$H8))</f>
        <v/>
      </c>
      <c r="C8" s="10" t="str">
        <f aca="false">IF($H8="","",INDEX('Work Master'!$D:$D,$H8))</f>
        <v/>
      </c>
      <c r="D8" s="10" t="str">
        <f aca="false">IF($H8="","",INDEX('Work Master'!$F:$F,$H8))</f>
        <v/>
      </c>
      <c r="E8" s="18" t="str">
        <f aca="false">IF($H8="","",INDEX('Work Master'!$J:$J,$H8))</f>
        <v/>
      </c>
      <c r="F8" s="15" t="str">
        <f aca="false">IF($H8="","",INDEX('Work Master'!$G:$G,$H8))</f>
        <v/>
      </c>
      <c r="H8" s="0" t="str">
        <f aca="false">IFERROR(MATCH(7,'Work Master'!$N:$N,0),"")</f>
        <v/>
      </c>
    </row>
    <row r="9" customFormat="false" ht="15" hidden="false" customHeight="false" outlineLevel="0" collapsed="false">
      <c r="A9" s="10" t="str">
        <f aca="false">IF($H9="","",INDEX('Work Master'!$A:$A,$H9))</f>
        <v/>
      </c>
      <c r="B9" s="10" t="str">
        <f aca="false">IF($H9="","",INDEX('Work Master'!$C:$C,$H9))</f>
        <v/>
      </c>
      <c r="C9" s="10" t="str">
        <f aca="false">IF($H9="","",INDEX('Work Master'!$D:$D,$H9))</f>
        <v/>
      </c>
      <c r="D9" s="10" t="str">
        <f aca="false">IF($H9="","",INDEX('Work Master'!$F:$F,$H9))</f>
        <v/>
      </c>
      <c r="E9" s="18" t="str">
        <f aca="false">IF($H9="","",INDEX('Work Master'!$J:$J,$H9))</f>
        <v/>
      </c>
      <c r="F9" s="15" t="str">
        <f aca="false">IF($H9="","",INDEX('Work Master'!$G:$G,$H9))</f>
        <v/>
      </c>
      <c r="H9" s="0" t="str">
        <f aca="false">IFERROR(MATCH(8,'Work Master'!$N:$N,0),"")</f>
        <v/>
      </c>
    </row>
    <row r="10" customFormat="false" ht="15" hidden="false" customHeight="false" outlineLevel="0" collapsed="false">
      <c r="A10" s="10" t="str">
        <f aca="false">IF($H10="","",INDEX('Work Master'!$A:$A,$H10))</f>
        <v/>
      </c>
      <c r="B10" s="10" t="str">
        <f aca="false">IF($H10="","",INDEX('Work Master'!$C:$C,$H10))</f>
        <v/>
      </c>
      <c r="C10" s="10" t="str">
        <f aca="false">IF($H10="","",INDEX('Work Master'!$D:$D,$H10))</f>
        <v/>
      </c>
      <c r="D10" s="10" t="str">
        <f aca="false">IF($H10="","",INDEX('Work Master'!$F:$F,$H10))</f>
        <v/>
      </c>
      <c r="E10" s="18" t="str">
        <f aca="false">IF($H10="","",INDEX('Work Master'!$J:$J,$H10))</f>
        <v/>
      </c>
      <c r="F10" s="15" t="str">
        <f aca="false">IF($H10="","",INDEX('Work Master'!$G:$G,$H10))</f>
        <v/>
      </c>
      <c r="H10" s="0" t="str">
        <f aca="false">IFERROR(MATCH(9,'Work Master'!$N:$N,0),"")</f>
        <v/>
      </c>
    </row>
    <row r="11" customFormat="false" ht="15" hidden="false" customHeight="false" outlineLevel="0" collapsed="false">
      <c r="A11" s="10" t="str">
        <f aca="false">IF($H11="","",INDEX('Work Master'!$A:$A,$H11))</f>
        <v/>
      </c>
      <c r="B11" s="10" t="str">
        <f aca="false">IF($H11="","",INDEX('Work Master'!$C:$C,$H11))</f>
        <v/>
      </c>
      <c r="C11" s="10" t="str">
        <f aca="false">IF($H11="","",INDEX('Work Master'!$D:$D,$H11))</f>
        <v/>
      </c>
      <c r="D11" s="10" t="str">
        <f aca="false">IF($H11="","",INDEX('Work Master'!$F:$F,$H11))</f>
        <v/>
      </c>
      <c r="E11" s="18" t="str">
        <f aca="false">IF($H11="","",INDEX('Work Master'!$J:$J,$H11))</f>
        <v/>
      </c>
      <c r="F11" s="15" t="str">
        <f aca="false">IF($H11="","",INDEX('Work Master'!$G:$G,$H11))</f>
        <v/>
      </c>
      <c r="H11" s="0" t="str">
        <f aca="false">IFERROR(MATCH(10,'Work Master'!$N:$N,0),"")</f>
        <v/>
      </c>
    </row>
    <row r="12" customFormat="false" ht="15" hidden="false" customHeight="false" outlineLevel="0" collapsed="false">
      <c r="A12" s="10" t="str">
        <f aca="false">IF($H12="","",INDEX('Work Master'!$A:$A,$H12))</f>
        <v/>
      </c>
      <c r="B12" s="10" t="str">
        <f aca="false">IF($H12="","",INDEX('Work Master'!$C:$C,$H12))</f>
        <v/>
      </c>
      <c r="C12" s="10" t="str">
        <f aca="false">IF($H12="","",INDEX('Work Master'!$D:$D,$H12))</f>
        <v/>
      </c>
      <c r="D12" s="10" t="str">
        <f aca="false">IF($H12="","",INDEX('Work Master'!$F:$F,$H12))</f>
        <v/>
      </c>
      <c r="E12" s="18" t="str">
        <f aca="false">IF($H12="","",INDEX('Work Master'!$J:$J,$H12))</f>
        <v/>
      </c>
      <c r="F12" s="15" t="str">
        <f aca="false">IF($H12="","",INDEX('Work Master'!$G:$G,$H12))</f>
        <v/>
      </c>
      <c r="H12" s="0" t="str">
        <f aca="false">IFERROR(MATCH(11,'Work Master'!$N:$N,0),"")</f>
        <v/>
      </c>
    </row>
    <row r="13" customFormat="false" ht="15" hidden="false" customHeight="false" outlineLevel="0" collapsed="false">
      <c r="A13" s="10" t="str">
        <f aca="false">IF($H13="","",INDEX('Work Master'!$A:$A,$H13))</f>
        <v/>
      </c>
      <c r="B13" s="10" t="str">
        <f aca="false">IF($H13="","",INDEX('Work Master'!$C:$C,$H13))</f>
        <v/>
      </c>
      <c r="C13" s="10" t="str">
        <f aca="false">IF($H13="","",INDEX('Work Master'!$D:$D,$H13))</f>
        <v/>
      </c>
      <c r="D13" s="10" t="str">
        <f aca="false">IF($H13="","",INDEX('Work Master'!$F:$F,$H13))</f>
        <v/>
      </c>
      <c r="E13" s="18" t="str">
        <f aca="false">IF($H13="","",INDEX('Work Master'!$J:$J,$H13))</f>
        <v/>
      </c>
      <c r="F13" s="15" t="str">
        <f aca="false">IF($H13="","",INDEX('Work Master'!$G:$G,$H13))</f>
        <v/>
      </c>
      <c r="H13" s="0" t="str">
        <f aca="false">IFERROR(MATCH(12,'Work Master'!$N:$N,0),"")</f>
        <v/>
      </c>
    </row>
    <row r="14" customFormat="false" ht="15" hidden="false" customHeight="false" outlineLevel="0" collapsed="false">
      <c r="A14" s="10" t="str">
        <f aca="false">IF($H14="","",INDEX('Work Master'!$A:$A,$H14))</f>
        <v/>
      </c>
      <c r="B14" s="10" t="str">
        <f aca="false">IF($H14="","",INDEX('Work Master'!$C:$C,$H14))</f>
        <v/>
      </c>
      <c r="C14" s="10" t="str">
        <f aca="false">IF($H14="","",INDEX('Work Master'!$D:$D,$H14))</f>
        <v/>
      </c>
      <c r="D14" s="10" t="str">
        <f aca="false">IF($H14="","",INDEX('Work Master'!$F:$F,$H14))</f>
        <v/>
      </c>
      <c r="E14" s="18" t="str">
        <f aca="false">IF($H14="","",INDEX('Work Master'!$J:$J,$H14))</f>
        <v/>
      </c>
      <c r="F14" s="15" t="str">
        <f aca="false">IF($H14="","",INDEX('Work Master'!$G:$G,$H14))</f>
        <v/>
      </c>
      <c r="H14" s="0" t="str">
        <f aca="false">IFERROR(MATCH(13,'Work Master'!$N:$N,0),"")</f>
        <v/>
      </c>
    </row>
    <row r="15" customFormat="false" ht="15" hidden="false" customHeight="false" outlineLevel="0" collapsed="false">
      <c r="A15" s="10" t="str">
        <f aca="false">IF($H15="","",INDEX('Work Master'!$A:$A,$H15))</f>
        <v/>
      </c>
      <c r="B15" s="10" t="str">
        <f aca="false">IF($H15="","",INDEX('Work Master'!$C:$C,$H15))</f>
        <v/>
      </c>
      <c r="C15" s="10" t="str">
        <f aca="false">IF($H15="","",INDEX('Work Master'!$D:$D,$H15))</f>
        <v/>
      </c>
      <c r="D15" s="10" t="str">
        <f aca="false">IF($H15="","",INDEX('Work Master'!$F:$F,$H15))</f>
        <v/>
      </c>
      <c r="E15" s="18" t="str">
        <f aca="false">IF($H15="","",INDEX('Work Master'!$J:$J,$H15))</f>
        <v/>
      </c>
      <c r="F15" s="15" t="str">
        <f aca="false">IF($H15="","",INDEX('Work Master'!$G:$G,$H15))</f>
        <v/>
      </c>
      <c r="H15" s="0" t="str">
        <f aca="false">IFERROR(MATCH(14,'Work Master'!$N:$N,0),"")</f>
        <v/>
      </c>
    </row>
    <row r="16" customFormat="false" ht="15" hidden="false" customHeight="false" outlineLevel="0" collapsed="false">
      <c r="A16" s="10" t="str">
        <f aca="false">IF($H16="","",INDEX('Work Master'!$A:$A,$H16))</f>
        <v/>
      </c>
      <c r="B16" s="10" t="str">
        <f aca="false">IF($H16="","",INDEX('Work Master'!$C:$C,$H16))</f>
        <v/>
      </c>
      <c r="C16" s="10" t="str">
        <f aca="false">IF($H16="","",INDEX('Work Master'!$D:$D,$H16))</f>
        <v/>
      </c>
      <c r="D16" s="10" t="str">
        <f aca="false">IF($H16="","",INDEX('Work Master'!$F:$F,$H16))</f>
        <v/>
      </c>
      <c r="E16" s="18" t="str">
        <f aca="false">IF($H16="","",INDEX('Work Master'!$J:$J,$H16))</f>
        <v/>
      </c>
      <c r="F16" s="15" t="str">
        <f aca="false">IF($H16="","",INDEX('Work Master'!$G:$G,$H16))</f>
        <v/>
      </c>
      <c r="H16" s="0" t="str">
        <f aca="false">IFERROR(MATCH(15,'Work Master'!$N:$N,0),"")</f>
        <v/>
      </c>
    </row>
    <row r="17" customFormat="false" ht="15" hidden="false" customHeight="false" outlineLevel="0" collapsed="false">
      <c r="A17" s="10" t="str">
        <f aca="false">IF($H17="","",INDEX('Work Master'!$A:$A,$H17))</f>
        <v/>
      </c>
      <c r="B17" s="10" t="str">
        <f aca="false">IF($H17="","",INDEX('Work Master'!$C:$C,$H17))</f>
        <v/>
      </c>
      <c r="C17" s="10" t="str">
        <f aca="false">IF($H17="","",INDEX('Work Master'!$D:$D,$H17))</f>
        <v/>
      </c>
      <c r="D17" s="10" t="str">
        <f aca="false">IF($H17="","",INDEX('Work Master'!$F:$F,$H17))</f>
        <v/>
      </c>
      <c r="E17" s="18" t="str">
        <f aca="false">IF($H17="","",INDEX('Work Master'!$J:$J,$H17))</f>
        <v/>
      </c>
      <c r="F17" s="15" t="str">
        <f aca="false">IF($H17="","",INDEX('Work Master'!$G:$G,$H17))</f>
        <v/>
      </c>
      <c r="H17" s="0" t="str">
        <f aca="false">IFERROR(MATCH(16,'Work Master'!$N:$N,0),"")</f>
        <v/>
      </c>
    </row>
    <row r="18" customFormat="false" ht="15" hidden="false" customHeight="false" outlineLevel="0" collapsed="false">
      <c r="A18" s="10" t="str">
        <f aca="false">IF($H18="","",INDEX('Work Master'!$A:$A,$H18))</f>
        <v/>
      </c>
      <c r="B18" s="10" t="str">
        <f aca="false">IF($H18="","",INDEX('Work Master'!$C:$C,$H18))</f>
        <v/>
      </c>
      <c r="C18" s="10" t="str">
        <f aca="false">IF($H18="","",INDEX('Work Master'!$D:$D,$H18))</f>
        <v/>
      </c>
      <c r="D18" s="10" t="str">
        <f aca="false">IF($H18="","",INDEX('Work Master'!$F:$F,$H18))</f>
        <v/>
      </c>
      <c r="E18" s="18" t="str">
        <f aca="false">IF($H18="","",INDEX('Work Master'!$J:$J,$H18))</f>
        <v/>
      </c>
      <c r="F18" s="15" t="str">
        <f aca="false">IF($H18="","",INDEX('Work Master'!$G:$G,$H18))</f>
        <v/>
      </c>
      <c r="H18" s="0" t="str">
        <f aca="false">IFERROR(MATCH(17,'Work Master'!$N:$N,0),"")</f>
        <v/>
      </c>
    </row>
    <row r="19" customFormat="false" ht="15" hidden="false" customHeight="false" outlineLevel="0" collapsed="false">
      <c r="A19" s="10" t="str">
        <f aca="false">IF($H19="","",INDEX('Work Master'!$A:$A,$H19))</f>
        <v/>
      </c>
      <c r="B19" s="10" t="str">
        <f aca="false">IF($H19="","",INDEX('Work Master'!$C:$C,$H19))</f>
        <v/>
      </c>
      <c r="C19" s="10" t="str">
        <f aca="false">IF($H19="","",INDEX('Work Master'!$D:$D,$H19))</f>
        <v/>
      </c>
      <c r="D19" s="10" t="str">
        <f aca="false">IF($H19="","",INDEX('Work Master'!$F:$F,$H19))</f>
        <v/>
      </c>
      <c r="E19" s="18" t="str">
        <f aca="false">IF($H19="","",INDEX('Work Master'!$J:$J,$H19))</f>
        <v/>
      </c>
      <c r="F19" s="15" t="str">
        <f aca="false">IF($H19="","",INDEX('Work Master'!$G:$G,$H19))</f>
        <v/>
      </c>
      <c r="H19" s="0" t="str">
        <f aca="false">IFERROR(MATCH(18,'Work Master'!$N:$N,0),"")</f>
        <v/>
      </c>
    </row>
    <row r="20" customFormat="false" ht="15" hidden="false" customHeight="false" outlineLevel="0" collapsed="false">
      <c r="A20" s="10" t="str">
        <f aca="false">IF($H20="","",INDEX('Work Master'!$A:$A,$H20))</f>
        <v/>
      </c>
      <c r="B20" s="10" t="str">
        <f aca="false">IF($H20="","",INDEX('Work Master'!$C:$C,$H20))</f>
        <v/>
      </c>
      <c r="C20" s="10" t="str">
        <f aca="false">IF($H20="","",INDEX('Work Master'!$D:$D,$H20))</f>
        <v/>
      </c>
      <c r="D20" s="10" t="str">
        <f aca="false">IF($H20="","",INDEX('Work Master'!$F:$F,$H20))</f>
        <v/>
      </c>
      <c r="E20" s="18" t="str">
        <f aca="false">IF($H20="","",INDEX('Work Master'!$J:$J,$H20))</f>
        <v/>
      </c>
      <c r="F20" s="15" t="str">
        <f aca="false">IF($H20="","",INDEX('Work Master'!$G:$G,$H20))</f>
        <v/>
      </c>
      <c r="H20" s="0" t="str">
        <f aca="false">IFERROR(MATCH(19,'Work Master'!$N:$N,0),"")</f>
        <v/>
      </c>
    </row>
    <row r="21" customFormat="false" ht="15" hidden="false" customHeight="false" outlineLevel="0" collapsed="false">
      <c r="A21" s="10" t="str">
        <f aca="false">IF($H21="","",INDEX('Work Master'!$A:$A,$H21))</f>
        <v/>
      </c>
      <c r="B21" s="10" t="str">
        <f aca="false">IF($H21="","",INDEX('Work Master'!$C:$C,$H21))</f>
        <v/>
      </c>
      <c r="C21" s="10" t="str">
        <f aca="false">IF($H21="","",INDEX('Work Master'!$D:$D,$H21))</f>
        <v/>
      </c>
      <c r="D21" s="10" t="str">
        <f aca="false">IF($H21="","",INDEX('Work Master'!$F:$F,$H21))</f>
        <v/>
      </c>
      <c r="E21" s="18" t="str">
        <f aca="false">IF($H21="","",INDEX('Work Master'!$J:$J,$H21))</f>
        <v/>
      </c>
      <c r="F21" s="15" t="str">
        <f aca="false">IF($H21="","",INDEX('Work Master'!$G:$G,$H21))</f>
        <v/>
      </c>
      <c r="H21" s="0" t="str">
        <f aca="false">IFERROR(MATCH(20,'Work Master'!$N:$N,0),"")</f>
        <v/>
      </c>
    </row>
    <row r="22" customFormat="false" ht="15" hidden="false" customHeight="false" outlineLevel="0" collapsed="false">
      <c r="A22" s="10" t="str">
        <f aca="false">IF($H22="","",INDEX('Work Master'!$A:$A,$H22))</f>
        <v/>
      </c>
      <c r="B22" s="10" t="str">
        <f aca="false">IF($H22="","",INDEX('Work Master'!$C:$C,$H22))</f>
        <v/>
      </c>
      <c r="C22" s="10" t="str">
        <f aca="false">IF($H22="","",INDEX('Work Master'!$D:$D,$H22))</f>
        <v/>
      </c>
      <c r="D22" s="10" t="str">
        <f aca="false">IF($H22="","",INDEX('Work Master'!$F:$F,$H22))</f>
        <v/>
      </c>
      <c r="E22" s="18" t="str">
        <f aca="false">IF($H22="","",INDEX('Work Master'!$J:$J,$H22))</f>
        <v/>
      </c>
      <c r="F22" s="15" t="str">
        <f aca="false">IF($H22="","",INDEX('Work Master'!$G:$G,$H22))</f>
        <v/>
      </c>
      <c r="H22" s="0" t="str">
        <f aca="false">IFERROR(MATCH(21,'Work Master'!$N:$N,0),"")</f>
        <v/>
      </c>
    </row>
    <row r="23" customFormat="false" ht="15" hidden="false" customHeight="false" outlineLevel="0" collapsed="false">
      <c r="A23" s="10" t="str">
        <f aca="false">IF($H23="","",INDEX('Work Master'!$A:$A,$H23))</f>
        <v/>
      </c>
      <c r="B23" s="10" t="str">
        <f aca="false">IF($H23="","",INDEX('Work Master'!$C:$C,$H23))</f>
        <v/>
      </c>
      <c r="C23" s="10" t="str">
        <f aca="false">IF($H23="","",INDEX('Work Master'!$D:$D,$H23))</f>
        <v/>
      </c>
      <c r="D23" s="10" t="str">
        <f aca="false">IF($H23="","",INDEX('Work Master'!$F:$F,$H23))</f>
        <v/>
      </c>
      <c r="E23" s="18" t="str">
        <f aca="false">IF($H23="","",INDEX('Work Master'!$J:$J,$H23))</f>
        <v/>
      </c>
      <c r="F23" s="15" t="str">
        <f aca="false">IF($H23="","",INDEX('Work Master'!$G:$G,$H23))</f>
        <v/>
      </c>
      <c r="H23" s="0" t="str">
        <f aca="false">IFERROR(MATCH(22,'Work Master'!$N:$N,0),"")</f>
        <v/>
      </c>
    </row>
    <row r="24" customFormat="false" ht="15" hidden="false" customHeight="false" outlineLevel="0" collapsed="false">
      <c r="A24" s="10" t="str">
        <f aca="false">IF($H24="","",INDEX('Work Master'!$A:$A,$H24))</f>
        <v/>
      </c>
      <c r="B24" s="10" t="str">
        <f aca="false">IF($H24="","",INDEX('Work Master'!$C:$C,$H24))</f>
        <v/>
      </c>
      <c r="C24" s="10" t="str">
        <f aca="false">IF($H24="","",INDEX('Work Master'!$D:$D,$H24))</f>
        <v/>
      </c>
      <c r="D24" s="10" t="str">
        <f aca="false">IF($H24="","",INDEX('Work Master'!$F:$F,$H24))</f>
        <v/>
      </c>
      <c r="E24" s="18" t="str">
        <f aca="false">IF($H24="","",INDEX('Work Master'!$J:$J,$H24))</f>
        <v/>
      </c>
      <c r="F24" s="15" t="str">
        <f aca="false">IF($H24="","",INDEX('Work Master'!$G:$G,$H24))</f>
        <v/>
      </c>
      <c r="H24" s="0" t="str">
        <f aca="false">IFERROR(MATCH(23,'Work Master'!$N:$N,0),"")</f>
        <v/>
      </c>
    </row>
    <row r="25" customFormat="false" ht="15" hidden="false" customHeight="false" outlineLevel="0" collapsed="false">
      <c r="A25" s="10" t="str">
        <f aca="false">IF($H25="","",INDEX('Work Master'!$A:$A,$H25))</f>
        <v/>
      </c>
      <c r="B25" s="10" t="str">
        <f aca="false">IF($H25="","",INDEX('Work Master'!$C:$C,$H25))</f>
        <v/>
      </c>
      <c r="C25" s="10" t="str">
        <f aca="false">IF($H25="","",INDEX('Work Master'!$D:$D,$H25))</f>
        <v/>
      </c>
      <c r="D25" s="10" t="str">
        <f aca="false">IF($H25="","",INDEX('Work Master'!$F:$F,$H25))</f>
        <v/>
      </c>
      <c r="E25" s="18" t="str">
        <f aca="false">IF($H25="","",INDEX('Work Master'!$J:$J,$H25))</f>
        <v/>
      </c>
      <c r="F25" s="15" t="str">
        <f aca="false">IF($H25="","",INDEX('Work Master'!$G:$G,$H25))</f>
        <v/>
      </c>
      <c r="H25" s="0" t="str">
        <f aca="false">IFERROR(MATCH(24,'Work Master'!$N:$N,0),"")</f>
        <v/>
      </c>
    </row>
    <row r="26" customFormat="false" ht="15" hidden="false" customHeight="false" outlineLevel="0" collapsed="false">
      <c r="A26" s="10" t="str">
        <f aca="false">IF($H26="","",INDEX('Work Master'!$A:$A,$H26))</f>
        <v/>
      </c>
      <c r="B26" s="10" t="str">
        <f aca="false">IF($H26="","",INDEX('Work Master'!$C:$C,$H26))</f>
        <v/>
      </c>
      <c r="C26" s="10" t="str">
        <f aca="false">IF($H26="","",INDEX('Work Master'!$D:$D,$H26))</f>
        <v/>
      </c>
      <c r="D26" s="10" t="str">
        <f aca="false">IF($H26="","",INDEX('Work Master'!$F:$F,$H26))</f>
        <v/>
      </c>
      <c r="E26" s="18" t="str">
        <f aca="false">IF($H26="","",INDEX('Work Master'!$J:$J,$H26))</f>
        <v/>
      </c>
      <c r="F26" s="15" t="str">
        <f aca="false">IF($H26="","",INDEX('Work Master'!$G:$G,$H26))</f>
        <v/>
      </c>
      <c r="H26" s="0" t="str">
        <f aca="false">IFERROR(MATCH(25,'Work Master'!$N:$N,0),"")</f>
        <v/>
      </c>
    </row>
    <row r="27" customFormat="false" ht="15" hidden="false" customHeight="false" outlineLevel="0" collapsed="false">
      <c r="A27" s="10" t="str">
        <f aca="false">IF($H27="","",INDEX('Work Master'!$A:$A,$H27))</f>
        <v/>
      </c>
      <c r="B27" s="10" t="str">
        <f aca="false">IF($H27="","",INDEX('Work Master'!$C:$C,$H27))</f>
        <v/>
      </c>
      <c r="C27" s="10" t="str">
        <f aca="false">IF($H27="","",INDEX('Work Master'!$D:$D,$H27))</f>
        <v/>
      </c>
      <c r="D27" s="10" t="str">
        <f aca="false">IF($H27="","",INDEX('Work Master'!$F:$F,$H27))</f>
        <v/>
      </c>
      <c r="E27" s="18" t="str">
        <f aca="false">IF($H27="","",INDEX('Work Master'!$J:$J,$H27))</f>
        <v/>
      </c>
      <c r="F27" s="15" t="str">
        <f aca="false">IF($H27="","",INDEX('Work Master'!$G:$G,$H27))</f>
        <v/>
      </c>
      <c r="H27" s="0" t="str">
        <f aca="false">IFERROR(MATCH(26,'Work Master'!$N:$N,0),"")</f>
        <v/>
      </c>
    </row>
    <row r="28" customFormat="false" ht="15" hidden="false" customHeight="false" outlineLevel="0" collapsed="false">
      <c r="A28" s="10" t="str">
        <f aca="false">IF($H28="","",INDEX('Work Master'!$A:$A,$H28))</f>
        <v/>
      </c>
      <c r="B28" s="10" t="str">
        <f aca="false">IF($H28="","",INDEX('Work Master'!$C:$C,$H28))</f>
        <v/>
      </c>
      <c r="C28" s="10" t="str">
        <f aca="false">IF($H28="","",INDEX('Work Master'!$D:$D,$H28))</f>
        <v/>
      </c>
      <c r="D28" s="10" t="str">
        <f aca="false">IF($H28="","",INDEX('Work Master'!$F:$F,$H28))</f>
        <v/>
      </c>
      <c r="E28" s="18" t="str">
        <f aca="false">IF($H28="","",INDEX('Work Master'!$J:$J,$H28))</f>
        <v/>
      </c>
      <c r="F28" s="15" t="str">
        <f aca="false">IF($H28="","",INDEX('Work Master'!$G:$G,$H28))</f>
        <v/>
      </c>
      <c r="H28" s="0" t="str">
        <f aca="false">IFERROR(MATCH(27,'Work Master'!$N:$N,0),"")</f>
        <v/>
      </c>
    </row>
    <row r="29" customFormat="false" ht="15" hidden="false" customHeight="false" outlineLevel="0" collapsed="false">
      <c r="A29" s="10" t="str">
        <f aca="false">IF($H29="","",INDEX('Work Master'!$A:$A,$H29))</f>
        <v/>
      </c>
      <c r="B29" s="10" t="str">
        <f aca="false">IF($H29="","",INDEX('Work Master'!$C:$C,$H29))</f>
        <v/>
      </c>
      <c r="C29" s="10" t="str">
        <f aca="false">IF($H29="","",INDEX('Work Master'!$D:$D,$H29))</f>
        <v/>
      </c>
      <c r="D29" s="10" t="str">
        <f aca="false">IF($H29="","",INDEX('Work Master'!$F:$F,$H29))</f>
        <v/>
      </c>
      <c r="E29" s="18" t="str">
        <f aca="false">IF($H29="","",INDEX('Work Master'!$J:$J,$H29))</f>
        <v/>
      </c>
      <c r="F29" s="15" t="str">
        <f aca="false">IF($H29="","",INDEX('Work Master'!$G:$G,$H29))</f>
        <v/>
      </c>
      <c r="H29" s="0" t="str">
        <f aca="false">IFERROR(MATCH(28,'Work Master'!$N:$N,0),"")</f>
        <v/>
      </c>
    </row>
    <row r="30" customFormat="false" ht="15" hidden="false" customHeight="false" outlineLevel="0" collapsed="false">
      <c r="A30" s="10" t="str">
        <f aca="false">IF($H30="","",INDEX('Work Master'!$A:$A,$H30))</f>
        <v/>
      </c>
      <c r="B30" s="10" t="str">
        <f aca="false">IF($H30="","",INDEX('Work Master'!$C:$C,$H30))</f>
        <v/>
      </c>
      <c r="C30" s="10" t="str">
        <f aca="false">IF($H30="","",INDEX('Work Master'!$D:$D,$H30))</f>
        <v/>
      </c>
      <c r="D30" s="10" t="str">
        <f aca="false">IF($H30="","",INDEX('Work Master'!$F:$F,$H30))</f>
        <v/>
      </c>
      <c r="E30" s="18" t="str">
        <f aca="false">IF($H30="","",INDEX('Work Master'!$J:$J,$H30))</f>
        <v/>
      </c>
      <c r="F30" s="15" t="str">
        <f aca="false">IF($H30="","",INDEX('Work Master'!$G:$G,$H30))</f>
        <v/>
      </c>
      <c r="H30" s="0" t="str">
        <f aca="false">IFERROR(MATCH(29,'Work Master'!$N:$N,0),"")</f>
        <v/>
      </c>
    </row>
    <row r="31" customFormat="false" ht="15" hidden="false" customHeight="false" outlineLevel="0" collapsed="false">
      <c r="A31" s="10" t="str">
        <f aca="false">IF($H31="","",INDEX('Work Master'!$A:$A,$H31))</f>
        <v/>
      </c>
      <c r="B31" s="10" t="str">
        <f aca="false">IF($H31="","",INDEX('Work Master'!$C:$C,$H31))</f>
        <v/>
      </c>
      <c r="C31" s="10" t="str">
        <f aca="false">IF($H31="","",INDEX('Work Master'!$D:$D,$H31))</f>
        <v/>
      </c>
      <c r="D31" s="10" t="str">
        <f aca="false">IF($H31="","",INDEX('Work Master'!$F:$F,$H31))</f>
        <v/>
      </c>
      <c r="E31" s="18" t="str">
        <f aca="false">IF($H31="","",INDEX('Work Master'!$J:$J,$H31))</f>
        <v/>
      </c>
      <c r="F31" s="15" t="str">
        <f aca="false">IF($H31="","",INDEX('Work Master'!$G:$G,$H31))</f>
        <v/>
      </c>
      <c r="H31" s="0" t="str">
        <f aca="false">IFERROR(MATCH(30,'Work Master'!$N:$N,0),"")</f>
        <v/>
      </c>
    </row>
    <row r="32" customFormat="false" ht="15" hidden="false" customHeight="false" outlineLevel="0" collapsed="false">
      <c r="A32" s="10" t="str">
        <f aca="false">IF($H32="","",INDEX('Work Master'!$A:$A,$H32))</f>
        <v/>
      </c>
      <c r="B32" s="10" t="str">
        <f aca="false">IF($H32="","",INDEX('Work Master'!$C:$C,$H32))</f>
        <v/>
      </c>
      <c r="C32" s="10" t="str">
        <f aca="false">IF($H32="","",INDEX('Work Master'!$D:$D,$H32))</f>
        <v/>
      </c>
      <c r="D32" s="10" t="str">
        <f aca="false">IF($H32="","",INDEX('Work Master'!$F:$F,$H32))</f>
        <v/>
      </c>
      <c r="E32" s="18" t="str">
        <f aca="false">IF($H32="","",INDEX('Work Master'!$J:$J,$H32))</f>
        <v/>
      </c>
      <c r="F32" s="15" t="str">
        <f aca="false">IF($H32="","",INDEX('Work Master'!$G:$G,$H32))</f>
        <v/>
      </c>
      <c r="H32" s="0" t="str">
        <f aca="false">IFERROR(MATCH(31,'Work Master'!$N:$N,0),"")</f>
        <v/>
      </c>
    </row>
    <row r="33" customFormat="false" ht="15" hidden="false" customHeight="false" outlineLevel="0" collapsed="false">
      <c r="A33" s="10" t="str">
        <f aca="false">IF($H33="","",INDEX('Work Master'!$A:$A,$H33))</f>
        <v/>
      </c>
      <c r="B33" s="10" t="str">
        <f aca="false">IF($H33="","",INDEX('Work Master'!$C:$C,$H33))</f>
        <v/>
      </c>
      <c r="C33" s="10" t="str">
        <f aca="false">IF($H33="","",INDEX('Work Master'!$D:$D,$H33))</f>
        <v/>
      </c>
      <c r="D33" s="10" t="str">
        <f aca="false">IF($H33="","",INDEX('Work Master'!$F:$F,$H33))</f>
        <v/>
      </c>
      <c r="E33" s="18" t="str">
        <f aca="false">IF($H33="","",INDEX('Work Master'!$J:$J,$H33))</f>
        <v/>
      </c>
      <c r="F33" s="15" t="str">
        <f aca="false">IF($H33="","",INDEX('Work Master'!$G:$G,$H33))</f>
        <v/>
      </c>
      <c r="H33" s="0" t="str">
        <f aca="false">IFERROR(MATCH(32,'Work Master'!$N:$N,0),"")</f>
        <v/>
      </c>
    </row>
    <row r="34" customFormat="false" ht="15" hidden="false" customHeight="false" outlineLevel="0" collapsed="false">
      <c r="A34" s="10" t="str">
        <f aca="false">IF($H34="","",INDEX('Work Master'!$A:$A,$H34))</f>
        <v/>
      </c>
      <c r="B34" s="10" t="str">
        <f aca="false">IF($H34="","",INDEX('Work Master'!$C:$C,$H34))</f>
        <v/>
      </c>
      <c r="C34" s="10" t="str">
        <f aca="false">IF($H34="","",INDEX('Work Master'!$D:$D,$H34))</f>
        <v/>
      </c>
      <c r="D34" s="10" t="str">
        <f aca="false">IF($H34="","",INDEX('Work Master'!$F:$F,$H34))</f>
        <v/>
      </c>
      <c r="E34" s="18" t="str">
        <f aca="false">IF($H34="","",INDEX('Work Master'!$J:$J,$H34))</f>
        <v/>
      </c>
      <c r="F34" s="15" t="str">
        <f aca="false">IF($H34="","",INDEX('Work Master'!$G:$G,$H34))</f>
        <v/>
      </c>
      <c r="H34" s="0" t="str">
        <f aca="false">IFERROR(MATCH(33,'Work Master'!$N:$N,0),"")</f>
        <v/>
      </c>
    </row>
    <row r="35" customFormat="false" ht="15" hidden="false" customHeight="false" outlineLevel="0" collapsed="false">
      <c r="A35" s="10" t="str">
        <f aca="false">IF($H35="","",INDEX('Work Master'!$A:$A,$H35))</f>
        <v/>
      </c>
      <c r="B35" s="10" t="str">
        <f aca="false">IF($H35="","",INDEX('Work Master'!$C:$C,$H35))</f>
        <v/>
      </c>
      <c r="C35" s="10" t="str">
        <f aca="false">IF($H35="","",INDEX('Work Master'!$D:$D,$H35))</f>
        <v/>
      </c>
      <c r="D35" s="10" t="str">
        <f aca="false">IF($H35="","",INDEX('Work Master'!$F:$F,$H35))</f>
        <v/>
      </c>
      <c r="E35" s="18" t="str">
        <f aca="false">IF($H35="","",INDEX('Work Master'!$J:$J,$H35))</f>
        <v/>
      </c>
      <c r="F35" s="15" t="str">
        <f aca="false">IF($H35="","",INDEX('Work Master'!$G:$G,$H35))</f>
        <v/>
      </c>
      <c r="H35" s="0" t="str">
        <f aca="false">IFERROR(MATCH(34,'Work Master'!$N:$N,0),"")</f>
        <v/>
      </c>
    </row>
    <row r="36" customFormat="false" ht="15" hidden="false" customHeight="false" outlineLevel="0" collapsed="false">
      <c r="A36" s="10" t="str">
        <f aca="false">IF($H36="","",INDEX('Work Master'!$A:$A,$H36))</f>
        <v/>
      </c>
      <c r="B36" s="10" t="str">
        <f aca="false">IF($H36="","",INDEX('Work Master'!$C:$C,$H36))</f>
        <v/>
      </c>
      <c r="C36" s="10" t="str">
        <f aca="false">IF($H36="","",INDEX('Work Master'!$D:$D,$H36))</f>
        <v/>
      </c>
      <c r="D36" s="10" t="str">
        <f aca="false">IF($H36="","",INDEX('Work Master'!$F:$F,$H36))</f>
        <v/>
      </c>
      <c r="E36" s="18" t="str">
        <f aca="false">IF($H36="","",INDEX('Work Master'!$J:$J,$H36))</f>
        <v/>
      </c>
      <c r="F36" s="15" t="str">
        <f aca="false">IF($H36="","",INDEX('Work Master'!$G:$G,$H36))</f>
        <v/>
      </c>
      <c r="H36" s="0" t="str">
        <f aca="false">IFERROR(MATCH(35,'Work Master'!$N:$N,0),"")</f>
        <v/>
      </c>
    </row>
    <row r="37" customFormat="false" ht="15" hidden="false" customHeight="false" outlineLevel="0" collapsed="false">
      <c r="A37" s="10" t="str">
        <f aca="false">IF($H37="","",INDEX('Work Master'!$A:$A,$H37))</f>
        <v/>
      </c>
      <c r="B37" s="10" t="str">
        <f aca="false">IF($H37="","",INDEX('Work Master'!$C:$C,$H37))</f>
        <v/>
      </c>
      <c r="C37" s="10" t="str">
        <f aca="false">IF($H37="","",INDEX('Work Master'!$D:$D,$H37))</f>
        <v/>
      </c>
      <c r="D37" s="10" t="str">
        <f aca="false">IF($H37="","",INDEX('Work Master'!$F:$F,$H37))</f>
        <v/>
      </c>
      <c r="E37" s="18" t="str">
        <f aca="false">IF($H37="","",INDEX('Work Master'!$J:$J,$H37))</f>
        <v/>
      </c>
      <c r="F37" s="15" t="str">
        <f aca="false">IF($H37="","",INDEX('Work Master'!$G:$G,$H37))</f>
        <v/>
      </c>
      <c r="H37" s="0" t="str">
        <f aca="false">IFERROR(MATCH(36,'Work Master'!$N:$N,0),"")</f>
        <v/>
      </c>
    </row>
    <row r="38" customFormat="false" ht="15" hidden="false" customHeight="false" outlineLevel="0" collapsed="false">
      <c r="A38" s="10" t="str">
        <f aca="false">IF($H38="","",INDEX('Work Master'!$A:$A,$H38))</f>
        <v/>
      </c>
      <c r="B38" s="10" t="str">
        <f aca="false">IF($H38="","",INDEX('Work Master'!$C:$C,$H38))</f>
        <v/>
      </c>
      <c r="C38" s="10" t="str">
        <f aca="false">IF($H38="","",INDEX('Work Master'!$D:$D,$H38))</f>
        <v/>
      </c>
      <c r="D38" s="10" t="str">
        <f aca="false">IF($H38="","",INDEX('Work Master'!$F:$F,$H38))</f>
        <v/>
      </c>
      <c r="E38" s="18" t="str">
        <f aca="false">IF($H38="","",INDEX('Work Master'!$J:$J,$H38))</f>
        <v/>
      </c>
      <c r="F38" s="15" t="str">
        <f aca="false">IF($H38="","",INDEX('Work Master'!$G:$G,$H38))</f>
        <v/>
      </c>
      <c r="H38" s="0" t="str">
        <f aca="false">IFERROR(MATCH(37,'Work Master'!$N:$N,0),"")</f>
        <v/>
      </c>
    </row>
    <row r="39" customFormat="false" ht="15" hidden="false" customHeight="false" outlineLevel="0" collapsed="false">
      <c r="A39" s="10" t="str">
        <f aca="false">IF($H39="","",INDEX('Work Master'!$A:$A,$H39))</f>
        <v/>
      </c>
      <c r="B39" s="10" t="str">
        <f aca="false">IF($H39="","",INDEX('Work Master'!$C:$C,$H39))</f>
        <v/>
      </c>
      <c r="C39" s="10" t="str">
        <f aca="false">IF($H39="","",INDEX('Work Master'!$D:$D,$H39))</f>
        <v/>
      </c>
      <c r="D39" s="10" t="str">
        <f aca="false">IF($H39="","",INDEX('Work Master'!$F:$F,$H39))</f>
        <v/>
      </c>
      <c r="E39" s="18" t="str">
        <f aca="false">IF($H39="","",INDEX('Work Master'!$J:$J,$H39))</f>
        <v/>
      </c>
      <c r="F39" s="15" t="str">
        <f aca="false">IF($H39="","",INDEX('Work Master'!$G:$G,$H39))</f>
        <v/>
      </c>
      <c r="H39" s="0" t="str">
        <f aca="false">IFERROR(MATCH(38,'Work Master'!$N:$N,0),"")</f>
        <v/>
      </c>
    </row>
    <row r="40" customFormat="false" ht="15" hidden="false" customHeight="false" outlineLevel="0" collapsed="false">
      <c r="A40" s="10" t="str">
        <f aca="false">IF($H40="","",INDEX('Work Master'!$A:$A,$H40))</f>
        <v/>
      </c>
      <c r="B40" s="10" t="str">
        <f aca="false">IF($H40="","",INDEX('Work Master'!$C:$C,$H40))</f>
        <v/>
      </c>
      <c r="C40" s="10" t="str">
        <f aca="false">IF($H40="","",INDEX('Work Master'!$D:$D,$H40))</f>
        <v/>
      </c>
      <c r="D40" s="10" t="str">
        <f aca="false">IF($H40="","",INDEX('Work Master'!$F:$F,$H40))</f>
        <v/>
      </c>
      <c r="E40" s="18" t="str">
        <f aca="false">IF($H40="","",INDEX('Work Master'!$J:$J,$H40))</f>
        <v/>
      </c>
      <c r="F40" s="15" t="str">
        <f aca="false">IF($H40="","",INDEX('Work Master'!$G:$G,$H40))</f>
        <v/>
      </c>
      <c r="H40" s="0" t="str">
        <f aca="false">IFERROR(MATCH(39,'Work Master'!$N:$N,0),"")</f>
        <v/>
      </c>
    </row>
    <row r="41" customFormat="false" ht="15" hidden="false" customHeight="false" outlineLevel="0" collapsed="false">
      <c r="A41" s="10" t="str">
        <f aca="false">IF($H41="","",INDEX('Work Master'!$A:$A,$H41))</f>
        <v/>
      </c>
      <c r="B41" s="10" t="str">
        <f aca="false">IF($H41="","",INDEX('Work Master'!$C:$C,$H41))</f>
        <v/>
      </c>
      <c r="C41" s="10" t="str">
        <f aca="false">IF($H41="","",INDEX('Work Master'!$D:$D,$H41))</f>
        <v/>
      </c>
      <c r="D41" s="10" t="str">
        <f aca="false">IF($H41="","",INDEX('Work Master'!$F:$F,$H41))</f>
        <v/>
      </c>
      <c r="E41" s="18" t="str">
        <f aca="false">IF($H41="","",INDEX('Work Master'!$J:$J,$H41))</f>
        <v/>
      </c>
      <c r="F41" s="15" t="str">
        <f aca="false">IF($H41="","",INDEX('Work Master'!$G:$G,$H41))</f>
        <v/>
      </c>
      <c r="H41" s="0" t="str">
        <f aca="false">IFERROR(MATCH(40,'Work Master'!$N:$N,0),"")</f>
        <v/>
      </c>
    </row>
    <row r="42" customFormat="false" ht="15" hidden="false" customHeight="false" outlineLevel="0" collapsed="false">
      <c r="A42" s="10" t="str">
        <f aca="false">IF($H42="","",INDEX('Work Master'!$A:$A,$H42))</f>
        <v/>
      </c>
      <c r="B42" s="10" t="str">
        <f aca="false">IF($H42="","",INDEX('Work Master'!$C:$C,$H42))</f>
        <v/>
      </c>
      <c r="C42" s="10" t="str">
        <f aca="false">IF($H42="","",INDEX('Work Master'!$D:$D,$H42))</f>
        <v/>
      </c>
      <c r="D42" s="10" t="str">
        <f aca="false">IF($H42="","",INDEX('Work Master'!$F:$F,$H42))</f>
        <v/>
      </c>
      <c r="E42" s="18" t="str">
        <f aca="false">IF($H42="","",INDEX('Work Master'!$J:$J,$H42))</f>
        <v/>
      </c>
      <c r="F42" s="15" t="str">
        <f aca="false">IF($H42="","",INDEX('Work Master'!$G:$G,$H42))</f>
        <v/>
      </c>
      <c r="H42" s="0" t="str">
        <f aca="false">IFERROR(MATCH(41,'Work Master'!$N:$N,0),"")</f>
        <v/>
      </c>
    </row>
    <row r="43" customFormat="false" ht="15" hidden="false" customHeight="false" outlineLevel="0" collapsed="false">
      <c r="A43" s="10" t="str">
        <f aca="false">IF($H43="","",INDEX('Work Master'!$A:$A,$H43))</f>
        <v/>
      </c>
      <c r="B43" s="10" t="str">
        <f aca="false">IF($H43="","",INDEX('Work Master'!$C:$C,$H43))</f>
        <v/>
      </c>
      <c r="C43" s="10" t="str">
        <f aca="false">IF($H43="","",INDEX('Work Master'!$D:$D,$H43))</f>
        <v/>
      </c>
      <c r="D43" s="10" t="str">
        <f aca="false">IF($H43="","",INDEX('Work Master'!$F:$F,$H43))</f>
        <v/>
      </c>
      <c r="E43" s="18" t="str">
        <f aca="false">IF($H43="","",INDEX('Work Master'!$J:$J,$H43))</f>
        <v/>
      </c>
      <c r="F43" s="15" t="str">
        <f aca="false">IF($H43="","",INDEX('Work Master'!$G:$G,$H43))</f>
        <v/>
      </c>
      <c r="H43" s="0" t="str">
        <f aca="false">IFERROR(MATCH(42,'Work Master'!$N:$N,0),"")</f>
        <v/>
      </c>
    </row>
    <row r="44" customFormat="false" ht="15" hidden="false" customHeight="false" outlineLevel="0" collapsed="false">
      <c r="A44" s="10" t="str">
        <f aca="false">IF($H44="","",INDEX('Work Master'!$A:$A,$H44))</f>
        <v/>
      </c>
      <c r="B44" s="10" t="str">
        <f aca="false">IF($H44="","",INDEX('Work Master'!$C:$C,$H44))</f>
        <v/>
      </c>
      <c r="C44" s="10" t="str">
        <f aca="false">IF($H44="","",INDEX('Work Master'!$D:$D,$H44))</f>
        <v/>
      </c>
      <c r="D44" s="10" t="str">
        <f aca="false">IF($H44="","",INDEX('Work Master'!$F:$F,$H44))</f>
        <v/>
      </c>
      <c r="E44" s="18" t="str">
        <f aca="false">IF($H44="","",INDEX('Work Master'!$J:$J,$H44))</f>
        <v/>
      </c>
      <c r="F44" s="15" t="str">
        <f aca="false">IF($H44="","",INDEX('Work Master'!$G:$G,$H44))</f>
        <v/>
      </c>
      <c r="H44" s="0" t="str">
        <f aca="false">IFERROR(MATCH(43,'Work Master'!$N:$N,0),"")</f>
        <v/>
      </c>
    </row>
    <row r="45" customFormat="false" ht="15" hidden="false" customHeight="false" outlineLevel="0" collapsed="false">
      <c r="A45" s="10" t="str">
        <f aca="false">IF($H45="","",INDEX('Work Master'!$A:$A,$H45))</f>
        <v/>
      </c>
      <c r="B45" s="10" t="str">
        <f aca="false">IF($H45="","",INDEX('Work Master'!$C:$C,$H45))</f>
        <v/>
      </c>
      <c r="C45" s="10" t="str">
        <f aca="false">IF($H45="","",INDEX('Work Master'!$D:$D,$H45))</f>
        <v/>
      </c>
      <c r="D45" s="10" t="str">
        <f aca="false">IF($H45="","",INDEX('Work Master'!$F:$F,$H45))</f>
        <v/>
      </c>
      <c r="E45" s="18" t="str">
        <f aca="false">IF($H45="","",INDEX('Work Master'!$J:$J,$H45))</f>
        <v/>
      </c>
      <c r="F45" s="15" t="str">
        <f aca="false">IF($H45="","",INDEX('Work Master'!$G:$G,$H45))</f>
        <v/>
      </c>
      <c r="H45" s="0" t="str">
        <f aca="false">IFERROR(MATCH(44,'Work Master'!$N:$N,0),"")</f>
        <v/>
      </c>
    </row>
    <row r="46" customFormat="false" ht="15" hidden="false" customHeight="false" outlineLevel="0" collapsed="false">
      <c r="A46" s="10" t="str">
        <f aca="false">IF($H46="","",INDEX('Work Master'!$A:$A,$H46))</f>
        <v/>
      </c>
      <c r="B46" s="10" t="str">
        <f aca="false">IF($H46="","",INDEX('Work Master'!$C:$C,$H46))</f>
        <v/>
      </c>
      <c r="C46" s="10" t="str">
        <f aca="false">IF($H46="","",INDEX('Work Master'!$D:$D,$H46))</f>
        <v/>
      </c>
      <c r="D46" s="10" t="str">
        <f aca="false">IF($H46="","",INDEX('Work Master'!$F:$F,$H46))</f>
        <v/>
      </c>
      <c r="E46" s="18" t="str">
        <f aca="false">IF($H46="","",INDEX('Work Master'!$J:$J,$H46))</f>
        <v/>
      </c>
      <c r="F46" s="15" t="str">
        <f aca="false">IF($H46="","",INDEX('Work Master'!$G:$G,$H46))</f>
        <v/>
      </c>
      <c r="H46" s="0" t="str">
        <f aca="false">IFERROR(MATCH(45,'Work Master'!$N:$N,0),"")</f>
        <v/>
      </c>
    </row>
    <row r="47" customFormat="false" ht="15" hidden="false" customHeight="false" outlineLevel="0" collapsed="false">
      <c r="A47" s="10" t="str">
        <f aca="false">IF($H47="","",INDEX('Work Master'!$A:$A,$H47))</f>
        <v/>
      </c>
      <c r="B47" s="10" t="str">
        <f aca="false">IF($H47="","",INDEX('Work Master'!$C:$C,$H47))</f>
        <v/>
      </c>
      <c r="C47" s="10" t="str">
        <f aca="false">IF($H47="","",INDEX('Work Master'!$D:$D,$H47))</f>
        <v/>
      </c>
      <c r="D47" s="10" t="str">
        <f aca="false">IF($H47="","",INDEX('Work Master'!$F:$F,$H47))</f>
        <v/>
      </c>
      <c r="E47" s="18" t="str">
        <f aca="false">IF($H47="","",INDEX('Work Master'!$J:$J,$H47))</f>
        <v/>
      </c>
      <c r="F47" s="15" t="str">
        <f aca="false">IF($H47="","",INDEX('Work Master'!$G:$G,$H47))</f>
        <v/>
      </c>
      <c r="H47" s="0" t="str">
        <f aca="false">IFERROR(MATCH(46,'Work Master'!$N:$N,0),"")</f>
        <v/>
      </c>
    </row>
    <row r="48" customFormat="false" ht="15" hidden="false" customHeight="false" outlineLevel="0" collapsed="false">
      <c r="A48" s="10" t="str">
        <f aca="false">IF($H48="","",INDEX('Work Master'!$A:$A,$H48))</f>
        <v/>
      </c>
      <c r="B48" s="10" t="str">
        <f aca="false">IF($H48="","",INDEX('Work Master'!$C:$C,$H48))</f>
        <v/>
      </c>
      <c r="C48" s="10" t="str">
        <f aca="false">IF($H48="","",INDEX('Work Master'!$D:$D,$H48))</f>
        <v/>
      </c>
      <c r="D48" s="10" t="str">
        <f aca="false">IF($H48="","",INDEX('Work Master'!$F:$F,$H48))</f>
        <v/>
      </c>
      <c r="E48" s="18" t="str">
        <f aca="false">IF($H48="","",INDEX('Work Master'!$J:$J,$H48))</f>
        <v/>
      </c>
      <c r="F48" s="15" t="str">
        <f aca="false">IF($H48="","",INDEX('Work Master'!$G:$G,$H48))</f>
        <v/>
      </c>
      <c r="H48" s="0" t="str">
        <f aca="false">IFERROR(MATCH(47,'Work Master'!$N:$N,0),"")</f>
        <v/>
      </c>
    </row>
    <row r="49" customFormat="false" ht="15" hidden="false" customHeight="false" outlineLevel="0" collapsed="false">
      <c r="A49" s="10" t="str">
        <f aca="false">IF($H49="","",INDEX('Work Master'!$A:$A,$H49))</f>
        <v/>
      </c>
      <c r="B49" s="10" t="str">
        <f aca="false">IF($H49="","",INDEX('Work Master'!$C:$C,$H49))</f>
        <v/>
      </c>
      <c r="C49" s="10" t="str">
        <f aca="false">IF($H49="","",INDEX('Work Master'!$D:$D,$H49))</f>
        <v/>
      </c>
      <c r="D49" s="10" t="str">
        <f aca="false">IF($H49="","",INDEX('Work Master'!$F:$F,$H49))</f>
        <v/>
      </c>
      <c r="E49" s="18" t="str">
        <f aca="false">IF($H49="","",INDEX('Work Master'!$J:$J,$H49))</f>
        <v/>
      </c>
      <c r="F49" s="15" t="str">
        <f aca="false">IF($H49="","",INDEX('Work Master'!$G:$G,$H49))</f>
        <v/>
      </c>
      <c r="H49" s="0" t="str">
        <f aca="false">IFERROR(MATCH(48,'Work Master'!$N:$N,0),"")</f>
        <v/>
      </c>
    </row>
    <row r="50" customFormat="false" ht="15" hidden="false" customHeight="false" outlineLevel="0" collapsed="false">
      <c r="A50" s="10" t="str">
        <f aca="false">IF($H50="","",INDEX('Work Master'!$A:$A,$H50))</f>
        <v/>
      </c>
      <c r="B50" s="10" t="str">
        <f aca="false">IF($H50="","",INDEX('Work Master'!$C:$C,$H50))</f>
        <v/>
      </c>
      <c r="C50" s="10" t="str">
        <f aca="false">IF($H50="","",INDEX('Work Master'!$D:$D,$H50))</f>
        <v/>
      </c>
      <c r="D50" s="10" t="str">
        <f aca="false">IF($H50="","",INDEX('Work Master'!$F:$F,$H50))</f>
        <v/>
      </c>
      <c r="E50" s="18" t="str">
        <f aca="false">IF($H50="","",INDEX('Work Master'!$J:$J,$H50))</f>
        <v/>
      </c>
      <c r="F50" s="15" t="str">
        <f aca="false">IF($H50="","",INDEX('Work Master'!$G:$G,$H50))</f>
        <v/>
      </c>
      <c r="H50" s="0" t="str">
        <f aca="false">IFERROR(MATCH(49,'Work Master'!$N:$N,0),"")</f>
        <v/>
      </c>
    </row>
    <row r="51" customFormat="false" ht="15" hidden="false" customHeight="false" outlineLevel="0" collapsed="false">
      <c r="A51" s="10" t="str">
        <f aca="false">IF($H51="","",INDEX('Work Master'!$A:$A,$H51))</f>
        <v/>
      </c>
      <c r="B51" s="10" t="str">
        <f aca="false">IF($H51="","",INDEX('Work Master'!$C:$C,$H51))</f>
        <v/>
      </c>
      <c r="C51" s="10" t="str">
        <f aca="false">IF($H51="","",INDEX('Work Master'!$D:$D,$H51))</f>
        <v/>
      </c>
      <c r="D51" s="10" t="str">
        <f aca="false">IF($H51="","",INDEX('Work Master'!$F:$F,$H51))</f>
        <v/>
      </c>
      <c r="E51" s="18" t="str">
        <f aca="false">IF($H51="","",INDEX('Work Master'!$J:$J,$H51))</f>
        <v/>
      </c>
      <c r="F51" s="15" t="str">
        <f aca="false">IF($H51="","",INDEX('Work Master'!$G:$G,$H51))</f>
        <v/>
      </c>
      <c r="H51" s="0" t="str">
        <f aca="false">IFERROR(MATCH(50,'Work Master'!$N:$N,0),"")</f>
        <v/>
      </c>
    </row>
    <row r="52" customFormat="false" ht="15" hidden="false" customHeight="false" outlineLevel="0" collapsed="false">
      <c r="A52" s="10" t="str">
        <f aca="false">IF($H52="","",INDEX('Work Master'!$A:$A,$H52))</f>
        <v/>
      </c>
      <c r="B52" s="10" t="str">
        <f aca="false">IF($H52="","",INDEX('Work Master'!$C:$C,$H52))</f>
        <v/>
      </c>
      <c r="C52" s="10" t="str">
        <f aca="false">IF($H52="","",INDEX('Work Master'!$D:$D,$H52))</f>
        <v/>
      </c>
      <c r="D52" s="10" t="str">
        <f aca="false">IF($H52="","",INDEX('Work Master'!$F:$F,$H52))</f>
        <v/>
      </c>
      <c r="E52" s="18" t="str">
        <f aca="false">IF($H52="","",INDEX('Work Master'!$J:$J,$H52))</f>
        <v/>
      </c>
      <c r="F52" s="15" t="str">
        <f aca="false">IF($H52="","",INDEX('Work Master'!$G:$G,$H52))</f>
        <v/>
      </c>
      <c r="H52" s="0" t="str">
        <f aca="false">IFERROR(MATCH(51,'Work Master'!$N:$N,0),"")</f>
        <v/>
      </c>
    </row>
    <row r="53" customFormat="false" ht="15" hidden="false" customHeight="false" outlineLevel="0" collapsed="false">
      <c r="A53" s="10" t="str">
        <f aca="false">IF($H53="","",INDEX('Work Master'!$A:$A,$H53))</f>
        <v/>
      </c>
      <c r="B53" s="10" t="str">
        <f aca="false">IF($H53="","",INDEX('Work Master'!$C:$C,$H53))</f>
        <v/>
      </c>
      <c r="C53" s="10" t="str">
        <f aca="false">IF($H53="","",INDEX('Work Master'!$D:$D,$H53))</f>
        <v/>
      </c>
      <c r="D53" s="10" t="str">
        <f aca="false">IF($H53="","",INDEX('Work Master'!$F:$F,$H53))</f>
        <v/>
      </c>
      <c r="E53" s="18" t="str">
        <f aca="false">IF($H53="","",INDEX('Work Master'!$J:$J,$H53))</f>
        <v/>
      </c>
      <c r="F53" s="15" t="str">
        <f aca="false">IF($H53="","",INDEX('Work Master'!$G:$G,$H53))</f>
        <v/>
      </c>
      <c r="H53" s="0" t="str">
        <f aca="false">IFERROR(MATCH(52,'Work Master'!$N:$N,0),"")</f>
        <v/>
      </c>
    </row>
    <row r="54" customFormat="false" ht="15" hidden="false" customHeight="false" outlineLevel="0" collapsed="false">
      <c r="A54" s="10" t="str">
        <f aca="false">IF($H54="","",INDEX('Work Master'!$A:$A,$H54))</f>
        <v/>
      </c>
      <c r="B54" s="10" t="str">
        <f aca="false">IF($H54="","",INDEX('Work Master'!$C:$C,$H54))</f>
        <v/>
      </c>
      <c r="C54" s="10" t="str">
        <f aca="false">IF($H54="","",INDEX('Work Master'!$D:$D,$H54))</f>
        <v/>
      </c>
      <c r="D54" s="10" t="str">
        <f aca="false">IF($H54="","",INDEX('Work Master'!$F:$F,$H54))</f>
        <v/>
      </c>
      <c r="E54" s="18" t="str">
        <f aca="false">IF($H54="","",INDEX('Work Master'!$J:$J,$H54))</f>
        <v/>
      </c>
      <c r="F54" s="15" t="str">
        <f aca="false">IF($H54="","",INDEX('Work Master'!$G:$G,$H54))</f>
        <v/>
      </c>
      <c r="H54" s="0" t="str">
        <f aca="false">IFERROR(MATCH(53,'Work Master'!$N:$N,0),"")</f>
        <v/>
      </c>
    </row>
    <row r="55" customFormat="false" ht="15" hidden="false" customHeight="false" outlineLevel="0" collapsed="false">
      <c r="A55" s="10" t="str">
        <f aca="false">IF($H55="","",INDEX('Work Master'!$A:$A,$H55))</f>
        <v/>
      </c>
      <c r="B55" s="10" t="str">
        <f aca="false">IF($H55="","",INDEX('Work Master'!$C:$C,$H55))</f>
        <v/>
      </c>
      <c r="C55" s="10" t="str">
        <f aca="false">IF($H55="","",INDEX('Work Master'!$D:$D,$H55))</f>
        <v/>
      </c>
      <c r="D55" s="10" t="str">
        <f aca="false">IF($H55="","",INDEX('Work Master'!$F:$F,$H55))</f>
        <v/>
      </c>
      <c r="E55" s="18" t="str">
        <f aca="false">IF($H55="","",INDEX('Work Master'!$J:$J,$H55))</f>
        <v/>
      </c>
      <c r="F55" s="15" t="str">
        <f aca="false">IF($H55="","",INDEX('Work Master'!$G:$G,$H55))</f>
        <v/>
      </c>
      <c r="H55" s="0" t="str">
        <f aca="false">IFERROR(MATCH(54,'Work Master'!$N:$N,0),"")</f>
        <v/>
      </c>
    </row>
    <row r="56" customFormat="false" ht="15" hidden="false" customHeight="false" outlineLevel="0" collapsed="false">
      <c r="A56" s="10" t="str">
        <f aca="false">IF($H56="","",INDEX('Work Master'!$A:$A,$H56))</f>
        <v/>
      </c>
      <c r="B56" s="10" t="str">
        <f aca="false">IF($H56="","",INDEX('Work Master'!$C:$C,$H56))</f>
        <v/>
      </c>
      <c r="C56" s="10" t="str">
        <f aca="false">IF($H56="","",INDEX('Work Master'!$D:$D,$H56))</f>
        <v/>
      </c>
      <c r="D56" s="10" t="str">
        <f aca="false">IF($H56="","",INDEX('Work Master'!$F:$F,$H56))</f>
        <v/>
      </c>
      <c r="E56" s="18" t="str">
        <f aca="false">IF($H56="","",INDEX('Work Master'!$J:$J,$H56))</f>
        <v/>
      </c>
      <c r="F56" s="15" t="str">
        <f aca="false">IF($H56="","",INDEX('Work Master'!$G:$G,$H56))</f>
        <v/>
      </c>
      <c r="H56" s="0" t="str">
        <f aca="false">IFERROR(MATCH(55,'Work Master'!$N:$N,0),"")</f>
        <v/>
      </c>
    </row>
    <row r="57" customFormat="false" ht="15" hidden="false" customHeight="false" outlineLevel="0" collapsed="false">
      <c r="A57" s="10" t="str">
        <f aca="false">IF($H57="","",INDEX('Work Master'!$A:$A,$H57))</f>
        <v/>
      </c>
      <c r="B57" s="10" t="str">
        <f aca="false">IF($H57="","",INDEX('Work Master'!$C:$C,$H57))</f>
        <v/>
      </c>
      <c r="C57" s="10" t="str">
        <f aca="false">IF($H57="","",INDEX('Work Master'!$D:$D,$H57))</f>
        <v/>
      </c>
      <c r="D57" s="10" t="str">
        <f aca="false">IF($H57="","",INDEX('Work Master'!$F:$F,$H57))</f>
        <v/>
      </c>
      <c r="E57" s="18" t="str">
        <f aca="false">IF($H57="","",INDEX('Work Master'!$J:$J,$H57))</f>
        <v/>
      </c>
      <c r="F57" s="15" t="str">
        <f aca="false">IF($H57="","",INDEX('Work Master'!$G:$G,$H57))</f>
        <v/>
      </c>
      <c r="H57" s="0" t="str">
        <f aca="false">IFERROR(MATCH(56,'Work Master'!$N:$N,0),"")</f>
        <v/>
      </c>
    </row>
    <row r="58" customFormat="false" ht="15" hidden="false" customHeight="false" outlineLevel="0" collapsed="false">
      <c r="A58" s="10" t="str">
        <f aca="false">IF($H58="","",INDEX('Work Master'!$A:$A,$H58))</f>
        <v/>
      </c>
      <c r="B58" s="10" t="str">
        <f aca="false">IF($H58="","",INDEX('Work Master'!$C:$C,$H58))</f>
        <v/>
      </c>
      <c r="C58" s="10" t="str">
        <f aca="false">IF($H58="","",INDEX('Work Master'!$D:$D,$H58))</f>
        <v/>
      </c>
      <c r="D58" s="10" t="str">
        <f aca="false">IF($H58="","",INDEX('Work Master'!$F:$F,$H58))</f>
        <v/>
      </c>
      <c r="E58" s="18" t="str">
        <f aca="false">IF($H58="","",INDEX('Work Master'!$J:$J,$H58))</f>
        <v/>
      </c>
      <c r="F58" s="15" t="str">
        <f aca="false">IF($H58="","",INDEX('Work Master'!$G:$G,$H58))</f>
        <v/>
      </c>
      <c r="H58" s="0" t="str">
        <f aca="false">IFERROR(MATCH(57,'Work Master'!$N:$N,0),"")</f>
        <v/>
      </c>
    </row>
    <row r="59" customFormat="false" ht="15" hidden="false" customHeight="false" outlineLevel="0" collapsed="false">
      <c r="A59" s="10" t="str">
        <f aca="false">IF($H59="","",INDEX('Work Master'!$A:$A,$H59))</f>
        <v/>
      </c>
      <c r="B59" s="10" t="str">
        <f aca="false">IF($H59="","",INDEX('Work Master'!$C:$C,$H59))</f>
        <v/>
      </c>
      <c r="C59" s="10" t="str">
        <f aca="false">IF($H59="","",INDEX('Work Master'!$D:$D,$H59))</f>
        <v/>
      </c>
      <c r="D59" s="10" t="str">
        <f aca="false">IF($H59="","",INDEX('Work Master'!$F:$F,$H59))</f>
        <v/>
      </c>
      <c r="E59" s="18" t="str">
        <f aca="false">IF($H59="","",INDEX('Work Master'!$J:$J,$H59))</f>
        <v/>
      </c>
      <c r="F59" s="15" t="str">
        <f aca="false">IF($H59="","",INDEX('Work Master'!$G:$G,$H59))</f>
        <v/>
      </c>
      <c r="H59" s="0" t="str">
        <f aca="false">IFERROR(MATCH(58,'Work Master'!$N:$N,0),"")</f>
        <v/>
      </c>
    </row>
    <row r="60" customFormat="false" ht="15" hidden="false" customHeight="false" outlineLevel="0" collapsed="false">
      <c r="A60" s="10" t="str">
        <f aca="false">IF($H60="","",INDEX('Work Master'!$A:$A,$H60))</f>
        <v/>
      </c>
      <c r="B60" s="10" t="str">
        <f aca="false">IF($H60="","",INDEX('Work Master'!$C:$C,$H60))</f>
        <v/>
      </c>
      <c r="C60" s="10" t="str">
        <f aca="false">IF($H60="","",INDEX('Work Master'!$D:$D,$H60))</f>
        <v/>
      </c>
      <c r="D60" s="10" t="str">
        <f aca="false">IF($H60="","",INDEX('Work Master'!$F:$F,$H60))</f>
        <v/>
      </c>
      <c r="E60" s="18" t="str">
        <f aca="false">IF($H60="","",INDEX('Work Master'!$J:$J,$H60))</f>
        <v/>
      </c>
      <c r="F60" s="15" t="str">
        <f aca="false">IF($H60="","",INDEX('Work Master'!$G:$G,$H60))</f>
        <v/>
      </c>
      <c r="H60" s="0" t="str">
        <f aca="false">IFERROR(MATCH(59,'Work Master'!$N:$N,0),"")</f>
        <v/>
      </c>
    </row>
    <row r="61" customFormat="false" ht="15" hidden="false" customHeight="false" outlineLevel="0" collapsed="false">
      <c r="A61" s="10" t="str">
        <f aca="false">IF($H61="","",INDEX('Work Master'!$A:$A,$H61))</f>
        <v/>
      </c>
      <c r="B61" s="10" t="str">
        <f aca="false">IF($H61="","",INDEX('Work Master'!$C:$C,$H61))</f>
        <v/>
      </c>
      <c r="C61" s="10" t="str">
        <f aca="false">IF($H61="","",INDEX('Work Master'!$D:$D,$H61))</f>
        <v/>
      </c>
      <c r="D61" s="10" t="str">
        <f aca="false">IF($H61="","",INDEX('Work Master'!$F:$F,$H61))</f>
        <v/>
      </c>
      <c r="E61" s="18" t="str">
        <f aca="false">IF($H61="","",INDEX('Work Master'!$J:$J,$H61))</f>
        <v/>
      </c>
      <c r="F61" s="15" t="str">
        <f aca="false">IF($H61="","",INDEX('Work Master'!$G:$G,$H61))</f>
        <v/>
      </c>
      <c r="H61" s="0" t="str">
        <f aca="false">IFERROR(MATCH(60,'Work Master'!$N:$N,0),"")</f>
        <v/>
      </c>
    </row>
    <row r="62" customFormat="false" ht="15" hidden="false" customHeight="false" outlineLevel="0" collapsed="false">
      <c r="A62" s="10" t="str">
        <f aca="false">IF($H62="","",INDEX('Work Master'!$A:$A,$H62))</f>
        <v/>
      </c>
      <c r="B62" s="10" t="str">
        <f aca="false">IF($H62="","",INDEX('Work Master'!$C:$C,$H62))</f>
        <v/>
      </c>
      <c r="C62" s="10" t="str">
        <f aca="false">IF($H62="","",INDEX('Work Master'!$D:$D,$H62))</f>
        <v/>
      </c>
      <c r="D62" s="10" t="str">
        <f aca="false">IF($H62="","",INDEX('Work Master'!$F:$F,$H62))</f>
        <v/>
      </c>
      <c r="E62" s="18" t="str">
        <f aca="false">IF($H62="","",INDEX('Work Master'!$J:$J,$H62))</f>
        <v/>
      </c>
      <c r="F62" s="15" t="str">
        <f aca="false">IF($H62="","",INDEX('Work Master'!$G:$G,$H62))</f>
        <v/>
      </c>
      <c r="H62" s="0" t="str">
        <f aca="false">IFERROR(MATCH(61,'Work Master'!$N:$N,0),"")</f>
        <v/>
      </c>
    </row>
    <row r="63" customFormat="false" ht="15" hidden="false" customHeight="false" outlineLevel="0" collapsed="false">
      <c r="A63" s="10" t="str">
        <f aca="false">IF($H63="","",INDEX('Work Master'!$A:$A,$H63))</f>
        <v/>
      </c>
      <c r="B63" s="10" t="str">
        <f aca="false">IF($H63="","",INDEX('Work Master'!$C:$C,$H63))</f>
        <v/>
      </c>
      <c r="C63" s="10" t="str">
        <f aca="false">IF($H63="","",INDEX('Work Master'!$D:$D,$H63))</f>
        <v/>
      </c>
      <c r="D63" s="10" t="str">
        <f aca="false">IF($H63="","",INDEX('Work Master'!$F:$F,$H63))</f>
        <v/>
      </c>
      <c r="E63" s="18" t="str">
        <f aca="false">IF($H63="","",INDEX('Work Master'!$J:$J,$H63))</f>
        <v/>
      </c>
      <c r="F63" s="15" t="str">
        <f aca="false">IF($H63="","",INDEX('Work Master'!$G:$G,$H63))</f>
        <v/>
      </c>
      <c r="H63" s="0" t="str">
        <f aca="false">IFERROR(MATCH(62,'Work Master'!$N:$N,0),"")</f>
        <v/>
      </c>
    </row>
    <row r="64" customFormat="false" ht="15" hidden="false" customHeight="false" outlineLevel="0" collapsed="false">
      <c r="A64" s="10" t="str">
        <f aca="false">IF($H64="","",INDEX('Work Master'!$A:$A,$H64))</f>
        <v/>
      </c>
      <c r="B64" s="10" t="str">
        <f aca="false">IF($H64="","",INDEX('Work Master'!$C:$C,$H64))</f>
        <v/>
      </c>
      <c r="C64" s="10" t="str">
        <f aca="false">IF($H64="","",INDEX('Work Master'!$D:$D,$H64))</f>
        <v/>
      </c>
      <c r="D64" s="10" t="str">
        <f aca="false">IF($H64="","",INDEX('Work Master'!$F:$F,$H64))</f>
        <v/>
      </c>
      <c r="E64" s="18" t="str">
        <f aca="false">IF($H64="","",INDEX('Work Master'!$J:$J,$H64))</f>
        <v/>
      </c>
      <c r="F64" s="15" t="str">
        <f aca="false">IF($H64="","",INDEX('Work Master'!$G:$G,$H64))</f>
        <v/>
      </c>
      <c r="H64" s="0" t="str">
        <f aca="false">IFERROR(MATCH(63,'Work Master'!$N:$N,0),"")</f>
        <v/>
      </c>
    </row>
    <row r="65" customFormat="false" ht="15" hidden="false" customHeight="false" outlineLevel="0" collapsed="false">
      <c r="A65" s="10" t="str">
        <f aca="false">IF($H65="","",INDEX('Work Master'!$A:$A,$H65))</f>
        <v/>
      </c>
      <c r="B65" s="10" t="str">
        <f aca="false">IF($H65="","",INDEX('Work Master'!$C:$C,$H65))</f>
        <v/>
      </c>
      <c r="C65" s="10" t="str">
        <f aca="false">IF($H65="","",INDEX('Work Master'!$D:$D,$H65))</f>
        <v/>
      </c>
      <c r="D65" s="10" t="str">
        <f aca="false">IF($H65="","",INDEX('Work Master'!$F:$F,$H65))</f>
        <v/>
      </c>
      <c r="E65" s="18" t="str">
        <f aca="false">IF($H65="","",INDEX('Work Master'!$J:$J,$H65))</f>
        <v/>
      </c>
      <c r="F65" s="15" t="str">
        <f aca="false">IF($H65="","",INDEX('Work Master'!$G:$G,$H65))</f>
        <v/>
      </c>
      <c r="H65" s="0" t="str">
        <f aca="false">IFERROR(MATCH(64,'Work Master'!$N:$N,0),"")</f>
        <v/>
      </c>
    </row>
    <row r="66" customFormat="false" ht="15" hidden="false" customHeight="false" outlineLevel="0" collapsed="false">
      <c r="A66" s="10" t="str">
        <f aca="false">IF($H66="","",INDEX('Work Master'!$A:$A,$H66))</f>
        <v/>
      </c>
      <c r="B66" s="10" t="str">
        <f aca="false">IF($H66="","",INDEX('Work Master'!$C:$C,$H66))</f>
        <v/>
      </c>
      <c r="C66" s="10" t="str">
        <f aca="false">IF($H66="","",INDEX('Work Master'!$D:$D,$H66))</f>
        <v/>
      </c>
      <c r="D66" s="10" t="str">
        <f aca="false">IF($H66="","",INDEX('Work Master'!$F:$F,$H66))</f>
        <v/>
      </c>
      <c r="E66" s="18" t="str">
        <f aca="false">IF($H66="","",INDEX('Work Master'!$J:$J,$H66))</f>
        <v/>
      </c>
      <c r="F66" s="15" t="str">
        <f aca="false">IF($H66="","",INDEX('Work Master'!$G:$G,$H66))</f>
        <v/>
      </c>
      <c r="H66" s="0" t="str">
        <f aca="false">IFERROR(MATCH(65,'Work Master'!$N:$N,0),"")</f>
        <v/>
      </c>
    </row>
    <row r="67" customFormat="false" ht="15" hidden="false" customHeight="false" outlineLevel="0" collapsed="false">
      <c r="A67" s="10" t="str">
        <f aca="false">IF($H67="","",INDEX('Work Master'!$A:$A,$H67))</f>
        <v/>
      </c>
      <c r="B67" s="10" t="str">
        <f aca="false">IF($H67="","",INDEX('Work Master'!$C:$C,$H67))</f>
        <v/>
      </c>
      <c r="C67" s="10" t="str">
        <f aca="false">IF($H67="","",INDEX('Work Master'!$D:$D,$H67))</f>
        <v/>
      </c>
      <c r="D67" s="10" t="str">
        <f aca="false">IF($H67="","",INDEX('Work Master'!$F:$F,$H67))</f>
        <v/>
      </c>
      <c r="E67" s="18" t="str">
        <f aca="false">IF($H67="","",INDEX('Work Master'!$J:$J,$H67))</f>
        <v/>
      </c>
      <c r="F67" s="15" t="str">
        <f aca="false">IF($H67="","",INDEX('Work Master'!$G:$G,$H67))</f>
        <v/>
      </c>
      <c r="H67" s="0" t="str">
        <f aca="false">IFERROR(MATCH(66,'Work Master'!$N:$N,0),"")</f>
        <v/>
      </c>
    </row>
    <row r="68" customFormat="false" ht="15" hidden="false" customHeight="false" outlineLevel="0" collapsed="false">
      <c r="A68" s="10" t="str">
        <f aca="false">IF($H68="","",INDEX('Work Master'!$A:$A,$H68))</f>
        <v/>
      </c>
      <c r="B68" s="10" t="str">
        <f aca="false">IF($H68="","",INDEX('Work Master'!$C:$C,$H68))</f>
        <v/>
      </c>
      <c r="C68" s="10" t="str">
        <f aca="false">IF($H68="","",INDEX('Work Master'!$D:$D,$H68))</f>
        <v/>
      </c>
      <c r="D68" s="10" t="str">
        <f aca="false">IF($H68="","",INDEX('Work Master'!$F:$F,$H68))</f>
        <v/>
      </c>
      <c r="E68" s="18" t="str">
        <f aca="false">IF($H68="","",INDEX('Work Master'!$J:$J,$H68))</f>
        <v/>
      </c>
      <c r="F68" s="15" t="str">
        <f aca="false">IF($H68="","",INDEX('Work Master'!$G:$G,$H68))</f>
        <v/>
      </c>
      <c r="H68" s="0" t="str">
        <f aca="false">IFERROR(MATCH(67,'Work Master'!$N:$N,0),"")</f>
        <v/>
      </c>
    </row>
    <row r="69" customFormat="false" ht="15" hidden="false" customHeight="false" outlineLevel="0" collapsed="false">
      <c r="A69" s="10" t="str">
        <f aca="false">IF($H69="","",INDEX('Work Master'!$A:$A,$H69))</f>
        <v/>
      </c>
      <c r="B69" s="10" t="str">
        <f aca="false">IF($H69="","",INDEX('Work Master'!$C:$C,$H69))</f>
        <v/>
      </c>
      <c r="C69" s="10" t="str">
        <f aca="false">IF($H69="","",INDEX('Work Master'!$D:$D,$H69))</f>
        <v/>
      </c>
      <c r="D69" s="10" t="str">
        <f aca="false">IF($H69="","",INDEX('Work Master'!$F:$F,$H69))</f>
        <v/>
      </c>
      <c r="E69" s="18" t="str">
        <f aca="false">IF($H69="","",INDEX('Work Master'!$J:$J,$H69))</f>
        <v/>
      </c>
      <c r="F69" s="15" t="str">
        <f aca="false">IF($H69="","",INDEX('Work Master'!$G:$G,$H69))</f>
        <v/>
      </c>
      <c r="H69" s="0" t="str">
        <f aca="false">IFERROR(MATCH(68,'Work Master'!$N:$N,0),"")</f>
        <v/>
      </c>
    </row>
    <row r="70" customFormat="false" ht="15" hidden="false" customHeight="false" outlineLevel="0" collapsed="false">
      <c r="A70" s="10" t="str">
        <f aca="false">IF($H70="","",INDEX('Work Master'!$A:$A,$H70))</f>
        <v/>
      </c>
      <c r="B70" s="10" t="str">
        <f aca="false">IF($H70="","",INDEX('Work Master'!$C:$C,$H70))</f>
        <v/>
      </c>
      <c r="C70" s="10" t="str">
        <f aca="false">IF($H70="","",INDEX('Work Master'!$D:$D,$H70))</f>
        <v/>
      </c>
      <c r="D70" s="10" t="str">
        <f aca="false">IF($H70="","",INDEX('Work Master'!$F:$F,$H70))</f>
        <v/>
      </c>
      <c r="E70" s="18" t="str">
        <f aca="false">IF($H70="","",INDEX('Work Master'!$J:$J,$H70))</f>
        <v/>
      </c>
      <c r="F70" s="15" t="str">
        <f aca="false">IF($H70="","",INDEX('Work Master'!$G:$G,$H70))</f>
        <v/>
      </c>
      <c r="H70" s="0" t="str">
        <f aca="false">IFERROR(MATCH(69,'Work Master'!$N:$N,0),"")</f>
        <v/>
      </c>
    </row>
    <row r="71" customFormat="false" ht="15" hidden="false" customHeight="false" outlineLevel="0" collapsed="false">
      <c r="A71" s="10" t="str">
        <f aca="false">IF($H71="","",INDEX('Work Master'!$A:$A,$H71))</f>
        <v/>
      </c>
      <c r="B71" s="10" t="str">
        <f aca="false">IF($H71="","",INDEX('Work Master'!$C:$C,$H71))</f>
        <v/>
      </c>
      <c r="C71" s="10" t="str">
        <f aca="false">IF($H71="","",INDEX('Work Master'!$D:$D,$H71))</f>
        <v/>
      </c>
      <c r="D71" s="10" t="str">
        <f aca="false">IF($H71="","",INDEX('Work Master'!$F:$F,$H71))</f>
        <v/>
      </c>
      <c r="E71" s="18" t="str">
        <f aca="false">IF($H71="","",INDEX('Work Master'!$J:$J,$H71))</f>
        <v/>
      </c>
      <c r="F71" s="15" t="str">
        <f aca="false">IF($H71="","",INDEX('Work Master'!$G:$G,$H71))</f>
        <v/>
      </c>
      <c r="H71" s="0" t="str">
        <f aca="false">IFERROR(MATCH(70,'Work Master'!$N:$N,0),"")</f>
        <v/>
      </c>
    </row>
    <row r="72" customFormat="false" ht="15" hidden="false" customHeight="false" outlineLevel="0" collapsed="false">
      <c r="A72" s="10" t="str">
        <f aca="false">IF($H72="","",INDEX('Work Master'!$A:$A,$H72))</f>
        <v/>
      </c>
      <c r="B72" s="10" t="str">
        <f aca="false">IF($H72="","",INDEX('Work Master'!$C:$C,$H72))</f>
        <v/>
      </c>
      <c r="C72" s="10" t="str">
        <f aca="false">IF($H72="","",INDEX('Work Master'!$D:$D,$H72))</f>
        <v/>
      </c>
      <c r="D72" s="10" t="str">
        <f aca="false">IF($H72="","",INDEX('Work Master'!$F:$F,$H72))</f>
        <v/>
      </c>
      <c r="E72" s="18" t="str">
        <f aca="false">IF($H72="","",INDEX('Work Master'!$J:$J,$H72))</f>
        <v/>
      </c>
      <c r="F72" s="15" t="str">
        <f aca="false">IF($H72="","",INDEX('Work Master'!$G:$G,$H72))</f>
        <v/>
      </c>
      <c r="H72" s="0" t="str">
        <f aca="false">IFERROR(MATCH(71,'Work Master'!$N:$N,0),"")</f>
        <v/>
      </c>
    </row>
    <row r="73" customFormat="false" ht="15" hidden="false" customHeight="false" outlineLevel="0" collapsed="false">
      <c r="A73" s="10" t="str">
        <f aca="false">IF($H73="","",INDEX('Work Master'!$A:$A,$H73))</f>
        <v/>
      </c>
      <c r="B73" s="10" t="str">
        <f aca="false">IF($H73="","",INDEX('Work Master'!$C:$C,$H73))</f>
        <v/>
      </c>
      <c r="C73" s="10" t="str">
        <f aca="false">IF($H73="","",INDEX('Work Master'!$D:$D,$H73))</f>
        <v/>
      </c>
      <c r="D73" s="10" t="str">
        <f aca="false">IF($H73="","",INDEX('Work Master'!$F:$F,$H73))</f>
        <v/>
      </c>
      <c r="E73" s="18" t="str">
        <f aca="false">IF($H73="","",INDEX('Work Master'!$J:$J,$H73))</f>
        <v/>
      </c>
      <c r="F73" s="15" t="str">
        <f aca="false">IF($H73="","",INDEX('Work Master'!$G:$G,$H73))</f>
        <v/>
      </c>
      <c r="H73" s="0" t="str">
        <f aca="false">IFERROR(MATCH(72,'Work Master'!$N:$N,0),"")</f>
        <v/>
      </c>
    </row>
    <row r="74" customFormat="false" ht="15" hidden="false" customHeight="false" outlineLevel="0" collapsed="false">
      <c r="A74" s="10" t="str">
        <f aca="false">IF($H74="","",INDEX('Work Master'!$A:$A,$H74))</f>
        <v/>
      </c>
      <c r="B74" s="10" t="str">
        <f aca="false">IF($H74="","",INDEX('Work Master'!$C:$C,$H74))</f>
        <v/>
      </c>
      <c r="C74" s="10" t="str">
        <f aca="false">IF($H74="","",INDEX('Work Master'!$D:$D,$H74))</f>
        <v/>
      </c>
      <c r="D74" s="10" t="str">
        <f aca="false">IF($H74="","",INDEX('Work Master'!$F:$F,$H74))</f>
        <v/>
      </c>
      <c r="E74" s="18" t="str">
        <f aca="false">IF($H74="","",INDEX('Work Master'!$J:$J,$H74))</f>
        <v/>
      </c>
      <c r="F74" s="15" t="str">
        <f aca="false">IF($H74="","",INDEX('Work Master'!$G:$G,$H74))</f>
        <v/>
      </c>
      <c r="H74" s="0" t="str">
        <f aca="false">IFERROR(MATCH(73,'Work Master'!$N:$N,0),"")</f>
        <v/>
      </c>
    </row>
    <row r="75" customFormat="false" ht="15" hidden="false" customHeight="false" outlineLevel="0" collapsed="false">
      <c r="A75" s="10" t="str">
        <f aca="false">IF($H75="","",INDEX('Work Master'!$A:$A,$H75))</f>
        <v/>
      </c>
      <c r="B75" s="10" t="str">
        <f aca="false">IF($H75="","",INDEX('Work Master'!$C:$C,$H75))</f>
        <v/>
      </c>
      <c r="C75" s="10" t="str">
        <f aca="false">IF($H75="","",INDEX('Work Master'!$D:$D,$H75))</f>
        <v/>
      </c>
      <c r="D75" s="10" t="str">
        <f aca="false">IF($H75="","",INDEX('Work Master'!$F:$F,$H75))</f>
        <v/>
      </c>
      <c r="E75" s="18" t="str">
        <f aca="false">IF($H75="","",INDEX('Work Master'!$J:$J,$H75))</f>
        <v/>
      </c>
      <c r="F75" s="15" t="str">
        <f aca="false">IF($H75="","",INDEX('Work Master'!$G:$G,$H75))</f>
        <v/>
      </c>
      <c r="H75" s="0" t="str">
        <f aca="false">IFERROR(MATCH(74,'Work Master'!$N:$N,0),"")</f>
        <v/>
      </c>
    </row>
    <row r="76" customFormat="false" ht="15" hidden="false" customHeight="false" outlineLevel="0" collapsed="false">
      <c r="A76" s="10" t="str">
        <f aca="false">IF($H76="","",INDEX('Work Master'!$A:$A,$H76))</f>
        <v/>
      </c>
      <c r="B76" s="10" t="str">
        <f aca="false">IF($H76="","",INDEX('Work Master'!$C:$C,$H76))</f>
        <v/>
      </c>
      <c r="C76" s="10" t="str">
        <f aca="false">IF($H76="","",INDEX('Work Master'!$D:$D,$H76))</f>
        <v/>
      </c>
      <c r="D76" s="10" t="str">
        <f aca="false">IF($H76="","",INDEX('Work Master'!$F:$F,$H76))</f>
        <v/>
      </c>
      <c r="E76" s="18" t="str">
        <f aca="false">IF($H76="","",INDEX('Work Master'!$J:$J,$H76))</f>
        <v/>
      </c>
      <c r="F76" s="15" t="str">
        <f aca="false">IF($H76="","",INDEX('Work Master'!$G:$G,$H76))</f>
        <v/>
      </c>
      <c r="H76" s="0" t="str">
        <f aca="false">IFERROR(MATCH(75,'Work Master'!$N:$N,0),"")</f>
        <v/>
      </c>
    </row>
    <row r="77" customFormat="false" ht="15" hidden="false" customHeight="false" outlineLevel="0" collapsed="false">
      <c r="A77" s="10" t="str">
        <f aca="false">IF($H77="","",INDEX('Work Master'!$A:$A,$H77))</f>
        <v/>
      </c>
      <c r="B77" s="10" t="str">
        <f aca="false">IF($H77="","",INDEX('Work Master'!$C:$C,$H77))</f>
        <v/>
      </c>
      <c r="C77" s="10" t="str">
        <f aca="false">IF($H77="","",INDEX('Work Master'!$D:$D,$H77))</f>
        <v/>
      </c>
      <c r="D77" s="10" t="str">
        <f aca="false">IF($H77="","",INDEX('Work Master'!$F:$F,$H77))</f>
        <v/>
      </c>
      <c r="E77" s="18" t="str">
        <f aca="false">IF($H77="","",INDEX('Work Master'!$J:$J,$H77))</f>
        <v/>
      </c>
      <c r="F77" s="15" t="str">
        <f aca="false">IF($H77="","",INDEX('Work Master'!$G:$G,$H77))</f>
        <v/>
      </c>
      <c r="H77" s="0" t="str">
        <f aca="false">IFERROR(MATCH(76,'Work Master'!$N:$N,0),"")</f>
        <v/>
      </c>
    </row>
    <row r="78" customFormat="false" ht="15" hidden="false" customHeight="false" outlineLevel="0" collapsed="false">
      <c r="A78" s="10" t="str">
        <f aca="false">IF($H78="","",INDEX('Work Master'!$A:$A,$H78))</f>
        <v/>
      </c>
      <c r="B78" s="10" t="str">
        <f aca="false">IF($H78="","",INDEX('Work Master'!$C:$C,$H78))</f>
        <v/>
      </c>
      <c r="C78" s="10" t="str">
        <f aca="false">IF($H78="","",INDEX('Work Master'!$D:$D,$H78))</f>
        <v/>
      </c>
      <c r="D78" s="10" t="str">
        <f aca="false">IF($H78="","",INDEX('Work Master'!$F:$F,$H78))</f>
        <v/>
      </c>
      <c r="E78" s="18" t="str">
        <f aca="false">IF($H78="","",INDEX('Work Master'!$J:$J,$H78))</f>
        <v/>
      </c>
      <c r="F78" s="15" t="str">
        <f aca="false">IF($H78="","",INDEX('Work Master'!$G:$G,$H78))</f>
        <v/>
      </c>
      <c r="H78" s="0" t="str">
        <f aca="false">IFERROR(MATCH(77,'Work Master'!$N:$N,0),"")</f>
        <v/>
      </c>
    </row>
    <row r="79" customFormat="false" ht="15" hidden="false" customHeight="false" outlineLevel="0" collapsed="false">
      <c r="A79" s="10" t="str">
        <f aca="false">IF($H79="","",INDEX('Work Master'!$A:$A,$H79))</f>
        <v/>
      </c>
      <c r="B79" s="10" t="str">
        <f aca="false">IF($H79="","",INDEX('Work Master'!$C:$C,$H79))</f>
        <v/>
      </c>
      <c r="C79" s="10" t="str">
        <f aca="false">IF($H79="","",INDEX('Work Master'!$D:$D,$H79))</f>
        <v/>
      </c>
      <c r="D79" s="10" t="str">
        <f aca="false">IF($H79="","",INDEX('Work Master'!$F:$F,$H79))</f>
        <v/>
      </c>
      <c r="E79" s="18" t="str">
        <f aca="false">IF($H79="","",INDEX('Work Master'!$J:$J,$H79))</f>
        <v/>
      </c>
      <c r="F79" s="15" t="str">
        <f aca="false">IF($H79="","",INDEX('Work Master'!$G:$G,$H79))</f>
        <v/>
      </c>
      <c r="H79" s="0" t="str">
        <f aca="false">IFERROR(MATCH(78,'Work Master'!$N:$N,0),"")</f>
        <v/>
      </c>
    </row>
    <row r="80" customFormat="false" ht="15" hidden="false" customHeight="false" outlineLevel="0" collapsed="false">
      <c r="A80" s="10" t="str">
        <f aca="false">IF($H80="","",INDEX('Work Master'!$A:$A,$H80))</f>
        <v/>
      </c>
      <c r="B80" s="10" t="str">
        <f aca="false">IF($H80="","",INDEX('Work Master'!$C:$C,$H80))</f>
        <v/>
      </c>
      <c r="C80" s="10" t="str">
        <f aca="false">IF($H80="","",INDEX('Work Master'!$D:$D,$H80))</f>
        <v/>
      </c>
      <c r="D80" s="10" t="str">
        <f aca="false">IF($H80="","",INDEX('Work Master'!$F:$F,$H80))</f>
        <v/>
      </c>
      <c r="E80" s="18" t="str">
        <f aca="false">IF($H80="","",INDEX('Work Master'!$J:$J,$H80))</f>
        <v/>
      </c>
      <c r="F80" s="15" t="str">
        <f aca="false">IF($H80="","",INDEX('Work Master'!$G:$G,$H80))</f>
        <v/>
      </c>
      <c r="H80" s="0" t="str">
        <f aca="false">IFERROR(MATCH(79,'Work Master'!$N:$N,0),"")</f>
        <v/>
      </c>
    </row>
    <row r="81" customFormat="false" ht="15" hidden="false" customHeight="false" outlineLevel="0" collapsed="false">
      <c r="A81" s="10" t="str">
        <f aca="false">IF($H81="","",INDEX('Work Master'!$A:$A,$H81))</f>
        <v/>
      </c>
      <c r="B81" s="10" t="str">
        <f aca="false">IF($H81="","",INDEX('Work Master'!$C:$C,$H81))</f>
        <v/>
      </c>
      <c r="C81" s="10" t="str">
        <f aca="false">IF($H81="","",INDEX('Work Master'!$D:$D,$H81))</f>
        <v/>
      </c>
      <c r="D81" s="10" t="str">
        <f aca="false">IF($H81="","",INDEX('Work Master'!$F:$F,$H81))</f>
        <v/>
      </c>
      <c r="E81" s="18" t="str">
        <f aca="false">IF($H81="","",INDEX('Work Master'!$J:$J,$H81))</f>
        <v/>
      </c>
      <c r="F81" s="15" t="str">
        <f aca="false">IF($H81="","",INDEX('Work Master'!$G:$G,$H81))</f>
        <v/>
      </c>
      <c r="H81" s="0" t="str">
        <f aca="false">IFERROR(MATCH(80,'Work Master'!$N:$N,0),"")</f>
        <v/>
      </c>
    </row>
    <row r="82" customFormat="false" ht="15" hidden="false" customHeight="false" outlineLevel="0" collapsed="false">
      <c r="A82" s="10" t="str">
        <f aca="false">IF($H82="","",INDEX('Work Master'!$A:$A,$H82))</f>
        <v/>
      </c>
      <c r="B82" s="10" t="str">
        <f aca="false">IF($H82="","",INDEX('Work Master'!$C:$C,$H82))</f>
        <v/>
      </c>
      <c r="C82" s="10" t="str">
        <f aca="false">IF($H82="","",INDEX('Work Master'!$D:$D,$H82))</f>
        <v/>
      </c>
      <c r="D82" s="10" t="str">
        <f aca="false">IF($H82="","",INDEX('Work Master'!$F:$F,$H82))</f>
        <v/>
      </c>
      <c r="E82" s="18" t="str">
        <f aca="false">IF($H82="","",INDEX('Work Master'!$J:$J,$H82))</f>
        <v/>
      </c>
      <c r="F82" s="15" t="str">
        <f aca="false">IF($H82="","",INDEX('Work Master'!$G:$G,$H82))</f>
        <v/>
      </c>
      <c r="H82" s="0" t="str">
        <f aca="false">IFERROR(MATCH(81,'Work Master'!$N:$N,0),"")</f>
        <v/>
      </c>
    </row>
    <row r="83" customFormat="false" ht="15" hidden="false" customHeight="false" outlineLevel="0" collapsed="false">
      <c r="A83" s="10" t="str">
        <f aca="false">IF($H83="","",INDEX('Work Master'!$A:$A,$H83))</f>
        <v/>
      </c>
      <c r="B83" s="10" t="str">
        <f aca="false">IF($H83="","",INDEX('Work Master'!$C:$C,$H83))</f>
        <v/>
      </c>
      <c r="C83" s="10" t="str">
        <f aca="false">IF($H83="","",INDEX('Work Master'!$D:$D,$H83))</f>
        <v/>
      </c>
      <c r="D83" s="10" t="str">
        <f aca="false">IF($H83="","",INDEX('Work Master'!$F:$F,$H83))</f>
        <v/>
      </c>
      <c r="E83" s="18" t="str">
        <f aca="false">IF($H83="","",INDEX('Work Master'!$J:$J,$H83))</f>
        <v/>
      </c>
      <c r="F83" s="15" t="str">
        <f aca="false">IF($H83="","",INDEX('Work Master'!$G:$G,$H83))</f>
        <v/>
      </c>
      <c r="H83" s="0" t="str">
        <f aca="false">IFERROR(MATCH(82,'Work Master'!$N:$N,0),"")</f>
        <v/>
      </c>
    </row>
    <row r="84" customFormat="false" ht="15" hidden="false" customHeight="false" outlineLevel="0" collapsed="false">
      <c r="A84" s="10" t="str">
        <f aca="false">IF($H84="","",INDEX('Work Master'!$A:$A,$H84))</f>
        <v/>
      </c>
      <c r="B84" s="10" t="str">
        <f aca="false">IF($H84="","",INDEX('Work Master'!$C:$C,$H84))</f>
        <v/>
      </c>
      <c r="C84" s="10" t="str">
        <f aca="false">IF($H84="","",INDEX('Work Master'!$D:$D,$H84))</f>
        <v/>
      </c>
      <c r="D84" s="10" t="str">
        <f aca="false">IF($H84="","",INDEX('Work Master'!$F:$F,$H84))</f>
        <v/>
      </c>
      <c r="E84" s="18" t="str">
        <f aca="false">IF($H84="","",INDEX('Work Master'!$J:$J,$H84))</f>
        <v/>
      </c>
      <c r="F84" s="15" t="str">
        <f aca="false">IF($H84="","",INDEX('Work Master'!$G:$G,$H84))</f>
        <v/>
      </c>
      <c r="H84" s="0" t="str">
        <f aca="false">IFERROR(MATCH(83,'Work Master'!$N:$N,0),"")</f>
        <v/>
      </c>
    </row>
    <row r="85" customFormat="false" ht="15" hidden="false" customHeight="false" outlineLevel="0" collapsed="false">
      <c r="A85" s="10" t="str">
        <f aca="false">IF($H85="","",INDEX('Work Master'!$A:$A,$H85))</f>
        <v/>
      </c>
      <c r="B85" s="10" t="str">
        <f aca="false">IF($H85="","",INDEX('Work Master'!$C:$C,$H85))</f>
        <v/>
      </c>
      <c r="C85" s="10" t="str">
        <f aca="false">IF($H85="","",INDEX('Work Master'!$D:$D,$H85))</f>
        <v/>
      </c>
      <c r="D85" s="10" t="str">
        <f aca="false">IF($H85="","",INDEX('Work Master'!$F:$F,$H85))</f>
        <v/>
      </c>
      <c r="E85" s="18" t="str">
        <f aca="false">IF($H85="","",INDEX('Work Master'!$J:$J,$H85))</f>
        <v/>
      </c>
      <c r="F85" s="15" t="str">
        <f aca="false">IF($H85="","",INDEX('Work Master'!$G:$G,$H85))</f>
        <v/>
      </c>
      <c r="H85" s="0" t="str">
        <f aca="false">IFERROR(MATCH(84,'Work Master'!$N:$N,0),"")</f>
        <v/>
      </c>
    </row>
    <row r="86" customFormat="false" ht="15" hidden="false" customHeight="false" outlineLevel="0" collapsed="false">
      <c r="A86" s="10" t="str">
        <f aca="false">IF($H86="","",INDEX('Work Master'!$A:$A,$H86))</f>
        <v/>
      </c>
      <c r="B86" s="10" t="str">
        <f aca="false">IF($H86="","",INDEX('Work Master'!$C:$C,$H86))</f>
        <v/>
      </c>
      <c r="C86" s="10" t="str">
        <f aca="false">IF($H86="","",INDEX('Work Master'!$D:$D,$H86))</f>
        <v/>
      </c>
      <c r="D86" s="10" t="str">
        <f aca="false">IF($H86="","",INDEX('Work Master'!$F:$F,$H86))</f>
        <v/>
      </c>
      <c r="E86" s="18" t="str">
        <f aca="false">IF($H86="","",INDEX('Work Master'!$J:$J,$H86))</f>
        <v/>
      </c>
      <c r="F86" s="15" t="str">
        <f aca="false">IF($H86="","",INDEX('Work Master'!$G:$G,$H86))</f>
        <v/>
      </c>
      <c r="H86" s="0" t="str">
        <f aca="false">IFERROR(MATCH(85,'Work Master'!$N:$N,0),"")</f>
        <v/>
      </c>
    </row>
    <row r="87" customFormat="false" ht="15" hidden="false" customHeight="false" outlineLevel="0" collapsed="false">
      <c r="A87" s="10" t="str">
        <f aca="false">IF($H87="","",INDEX('Work Master'!$A:$A,$H87))</f>
        <v/>
      </c>
      <c r="B87" s="10" t="str">
        <f aca="false">IF($H87="","",INDEX('Work Master'!$C:$C,$H87))</f>
        <v/>
      </c>
      <c r="C87" s="10" t="str">
        <f aca="false">IF($H87="","",INDEX('Work Master'!$D:$D,$H87))</f>
        <v/>
      </c>
      <c r="D87" s="10" t="str">
        <f aca="false">IF($H87="","",INDEX('Work Master'!$F:$F,$H87))</f>
        <v/>
      </c>
      <c r="E87" s="18" t="str">
        <f aca="false">IF($H87="","",INDEX('Work Master'!$J:$J,$H87))</f>
        <v/>
      </c>
      <c r="F87" s="15" t="str">
        <f aca="false">IF($H87="","",INDEX('Work Master'!$G:$G,$H87))</f>
        <v/>
      </c>
      <c r="H87" s="0" t="str">
        <f aca="false">IFERROR(MATCH(86,'Work Master'!$N:$N,0),"")</f>
        <v/>
      </c>
    </row>
    <row r="88" customFormat="false" ht="15" hidden="false" customHeight="false" outlineLevel="0" collapsed="false">
      <c r="A88" s="10" t="str">
        <f aca="false">IF($H88="","",INDEX('Work Master'!$A:$A,$H88))</f>
        <v/>
      </c>
      <c r="B88" s="10" t="str">
        <f aca="false">IF($H88="","",INDEX('Work Master'!$C:$C,$H88))</f>
        <v/>
      </c>
      <c r="C88" s="10" t="str">
        <f aca="false">IF($H88="","",INDEX('Work Master'!$D:$D,$H88))</f>
        <v/>
      </c>
      <c r="D88" s="10" t="str">
        <f aca="false">IF($H88="","",INDEX('Work Master'!$F:$F,$H88))</f>
        <v/>
      </c>
      <c r="E88" s="18" t="str">
        <f aca="false">IF($H88="","",INDEX('Work Master'!$J:$J,$H88))</f>
        <v/>
      </c>
      <c r="F88" s="15" t="str">
        <f aca="false">IF($H88="","",INDEX('Work Master'!$G:$G,$H88))</f>
        <v/>
      </c>
      <c r="H88" s="0" t="str">
        <f aca="false">IFERROR(MATCH(87,'Work Master'!$N:$N,0),"")</f>
        <v/>
      </c>
    </row>
    <row r="89" customFormat="false" ht="15" hidden="false" customHeight="false" outlineLevel="0" collapsed="false">
      <c r="A89" s="10" t="str">
        <f aca="false">IF($H89="","",INDEX('Work Master'!$A:$A,$H89))</f>
        <v/>
      </c>
      <c r="B89" s="10" t="str">
        <f aca="false">IF($H89="","",INDEX('Work Master'!$C:$C,$H89))</f>
        <v/>
      </c>
      <c r="C89" s="10" t="str">
        <f aca="false">IF($H89="","",INDEX('Work Master'!$D:$D,$H89))</f>
        <v/>
      </c>
      <c r="D89" s="10" t="str">
        <f aca="false">IF($H89="","",INDEX('Work Master'!$F:$F,$H89))</f>
        <v/>
      </c>
      <c r="E89" s="18" t="str">
        <f aca="false">IF($H89="","",INDEX('Work Master'!$J:$J,$H89))</f>
        <v/>
      </c>
      <c r="F89" s="15" t="str">
        <f aca="false">IF($H89="","",INDEX('Work Master'!$G:$G,$H89))</f>
        <v/>
      </c>
      <c r="H89" s="0" t="str">
        <f aca="false">IFERROR(MATCH(88,'Work Master'!$N:$N,0),"")</f>
        <v/>
      </c>
    </row>
    <row r="90" customFormat="false" ht="15" hidden="false" customHeight="false" outlineLevel="0" collapsed="false">
      <c r="A90" s="10" t="str">
        <f aca="false">IF($H90="","",INDEX('Work Master'!$A:$A,$H90))</f>
        <v/>
      </c>
      <c r="B90" s="10" t="str">
        <f aca="false">IF($H90="","",INDEX('Work Master'!$C:$C,$H90))</f>
        <v/>
      </c>
      <c r="C90" s="10" t="str">
        <f aca="false">IF($H90="","",INDEX('Work Master'!$D:$D,$H90))</f>
        <v/>
      </c>
      <c r="D90" s="10" t="str">
        <f aca="false">IF($H90="","",INDEX('Work Master'!$F:$F,$H90))</f>
        <v/>
      </c>
      <c r="E90" s="18" t="str">
        <f aca="false">IF($H90="","",INDEX('Work Master'!$J:$J,$H90))</f>
        <v/>
      </c>
      <c r="F90" s="15" t="str">
        <f aca="false">IF($H90="","",INDEX('Work Master'!$G:$G,$H90))</f>
        <v/>
      </c>
      <c r="H90" s="0" t="str">
        <f aca="false">IFERROR(MATCH(89,'Work Master'!$N:$N,0),"")</f>
        <v/>
      </c>
    </row>
    <row r="91" customFormat="false" ht="15" hidden="false" customHeight="false" outlineLevel="0" collapsed="false">
      <c r="A91" s="10" t="str">
        <f aca="false">IF($H91="","",INDEX('Work Master'!$A:$A,$H91))</f>
        <v/>
      </c>
      <c r="B91" s="10" t="str">
        <f aca="false">IF($H91="","",INDEX('Work Master'!$C:$C,$H91))</f>
        <v/>
      </c>
      <c r="C91" s="10" t="str">
        <f aca="false">IF($H91="","",INDEX('Work Master'!$D:$D,$H91))</f>
        <v/>
      </c>
      <c r="D91" s="10" t="str">
        <f aca="false">IF($H91="","",INDEX('Work Master'!$F:$F,$H91))</f>
        <v/>
      </c>
      <c r="E91" s="18" t="str">
        <f aca="false">IF($H91="","",INDEX('Work Master'!$J:$J,$H91))</f>
        <v/>
      </c>
      <c r="F91" s="15" t="str">
        <f aca="false">IF($H91="","",INDEX('Work Master'!$G:$G,$H91))</f>
        <v/>
      </c>
      <c r="H91" s="0" t="str">
        <f aca="false">IFERROR(MATCH(90,'Work Master'!$N:$N,0),"")</f>
        <v/>
      </c>
    </row>
    <row r="92" customFormat="false" ht="15" hidden="false" customHeight="false" outlineLevel="0" collapsed="false">
      <c r="A92" s="10" t="str">
        <f aca="false">IF($H92="","",INDEX('Work Master'!$A:$A,$H92))</f>
        <v/>
      </c>
      <c r="B92" s="10" t="str">
        <f aca="false">IF($H92="","",INDEX('Work Master'!$C:$C,$H92))</f>
        <v/>
      </c>
      <c r="C92" s="10" t="str">
        <f aca="false">IF($H92="","",INDEX('Work Master'!$D:$D,$H92))</f>
        <v/>
      </c>
      <c r="D92" s="10" t="str">
        <f aca="false">IF($H92="","",INDEX('Work Master'!$F:$F,$H92))</f>
        <v/>
      </c>
      <c r="E92" s="18" t="str">
        <f aca="false">IF($H92="","",INDEX('Work Master'!$J:$J,$H92))</f>
        <v/>
      </c>
      <c r="F92" s="15" t="str">
        <f aca="false">IF($H92="","",INDEX('Work Master'!$G:$G,$H92))</f>
        <v/>
      </c>
      <c r="H92" s="0" t="str">
        <f aca="false">IFERROR(MATCH(91,'Work Master'!$N:$N,0),"")</f>
        <v/>
      </c>
    </row>
    <row r="93" customFormat="false" ht="15" hidden="false" customHeight="false" outlineLevel="0" collapsed="false">
      <c r="A93" s="10" t="str">
        <f aca="false">IF($H93="","",INDEX('Work Master'!$A:$A,$H93))</f>
        <v/>
      </c>
      <c r="B93" s="10" t="str">
        <f aca="false">IF($H93="","",INDEX('Work Master'!$C:$C,$H93))</f>
        <v/>
      </c>
      <c r="C93" s="10" t="str">
        <f aca="false">IF($H93="","",INDEX('Work Master'!$D:$D,$H93))</f>
        <v/>
      </c>
      <c r="D93" s="10" t="str">
        <f aca="false">IF($H93="","",INDEX('Work Master'!$F:$F,$H93))</f>
        <v/>
      </c>
      <c r="E93" s="18" t="str">
        <f aca="false">IF($H93="","",INDEX('Work Master'!$J:$J,$H93))</f>
        <v/>
      </c>
      <c r="F93" s="15" t="str">
        <f aca="false">IF($H93="","",INDEX('Work Master'!$G:$G,$H93))</f>
        <v/>
      </c>
      <c r="H93" s="0" t="str">
        <f aca="false">IFERROR(MATCH(92,'Work Master'!$N:$N,0),"")</f>
        <v/>
      </c>
    </row>
    <row r="94" customFormat="false" ht="15" hidden="false" customHeight="false" outlineLevel="0" collapsed="false">
      <c r="A94" s="10" t="str">
        <f aca="false">IF($H94="","",INDEX('Work Master'!$A:$A,$H94))</f>
        <v/>
      </c>
      <c r="B94" s="10" t="str">
        <f aca="false">IF($H94="","",INDEX('Work Master'!$C:$C,$H94))</f>
        <v/>
      </c>
      <c r="C94" s="10" t="str">
        <f aca="false">IF($H94="","",INDEX('Work Master'!$D:$D,$H94))</f>
        <v/>
      </c>
      <c r="D94" s="10" t="str">
        <f aca="false">IF($H94="","",INDEX('Work Master'!$F:$F,$H94))</f>
        <v/>
      </c>
      <c r="E94" s="18" t="str">
        <f aca="false">IF($H94="","",INDEX('Work Master'!$J:$J,$H94))</f>
        <v/>
      </c>
      <c r="F94" s="15" t="str">
        <f aca="false">IF($H94="","",INDEX('Work Master'!$G:$G,$H94))</f>
        <v/>
      </c>
      <c r="H94" s="0" t="str">
        <f aca="false">IFERROR(MATCH(93,'Work Master'!$N:$N,0),"")</f>
        <v/>
      </c>
    </row>
    <row r="95" customFormat="false" ht="15" hidden="false" customHeight="false" outlineLevel="0" collapsed="false">
      <c r="A95" s="10" t="str">
        <f aca="false">IF($H95="","",INDEX('Work Master'!$A:$A,$H95))</f>
        <v/>
      </c>
      <c r="B95" s="10" t="str">
        <f aca="false">IF($H95="","",INDEX('Work Master'!$C:$C,$H95))</f>
        <v/>
      </c>
      <c r="C95" s="10" t="str">
        <f aca="false">IF($H95="","",INDEX('Work Master'!$D:$D,$H95))</f>
        <v/>
      </c>
      <c r="D95" s="10" t="str">
        <f aca="false">IF($H95="","",INDEX('Work Master'!$F:$F,$H95))</f>
        <v/>
      </c>
      <c r="E95" s="18" t="str">
        <f aca="false">IF($H95="","",INDEX('Work Master'!$J:$J,$H95))</f>
        <v/>
      </c>
      <c r="F95" s="15" t="str">
        <f aca="false">IF($H95="","",INDEX('Work Master'!$G:$G,$H95))</f>
        <v/>
      </c>
      <c r="H95" s="0" t="str">
        <f aca="false">IFERROR(MATCH(94,'Work Master'!$N:$N,0),"")</f>
        <v/>
      </c>
    </row>
    <row r="96" customFormat="false" ht="15" hidden="false" customHeight="false" outlineLevel="0" collapsed="false">
      <c r="A96" s="10" t="str">
        <f aca="false">IF($H96="","",INDEX('Work Master'!$A:$A,$H96))</f>
        <v/>
      </c>
      <c r="B96" s="10" t="str">
        <f aca="false">IF($H96="","",INDEX('Work Master'!$C:$C,$H96))</f>
        <v/>
      </c>
      <c r="C96" s="10" t="str">
        <f aca="false">IF($H96="","",INDEX('Work Master'!$D:$D,$H96))</f>
        <v/>
      </c>
      <c r="D96" s="10" t="str">
        <f aca="false">IF($H96="","",INDEX('Work Master'!$F:$F,$H96))</f>
        <v/>
      </c>
      <c r="E96" s="18" t="str">
        <f aca="false">IF($H96="","",INDEX('Work Master'!$J:$J,$H96))</f>
        <v/>
      </c>
      <c r="F96" s="15" t="str">
        <f aca="false">IF($H96="","",INDEX('Work Master'!$G:$G,$H96))</f>
        <v/>
      </c>
      <c r="H96" s="0" t="str">
        <f aca="false">IFERROR(MATCH(95,'Work Master'!$N:$N,0),"")</f>
        <v/>
      </c>
    </row>
    <row r="97" customFormat="false" ht="15" hidden="false" customHeight="false" outlineLevel="0" collapsed="false">
      <c r="A97" s="10" t="str">
        <f aca="false">IF($H97="","",INDEX('Work Master'!$A:$A,$H97))</f>
        <v/>
      </c>
      <c r="B97" s="10" t="str">
        <f aca="false">IF($H97="","",INDEX('Work Master'!$C:$C,$H97))</f>
        <v/>
      </c>
      <c r="C97" s="10" t="str">
        <f aca="false">IF($H97="","",INDEX('Work Master'!$D:$D,$H97))</f>
        <v/>
      </c>
      <c r="D97" s="10" t="str">
        <f aca="false">IF($H97="","",INDEX('Work Master'!$F:$F,$H97))</f>
        <v/>
      </c>
      <c r="E97" s="18" t="str">
        <f aca="false">IF($H97="","",INDEX('Work Master'!$J:$J,$H97))</f>
        <v/>
      </c>
      <c r="F97" s="15" t="str">
        <f aca="false">IF($H97="","",INDEX('Work Master'!$G:$G,$H97))</f>
        <v/>
      </c>
      <c r="H97" s="0" t="str">
        <f aca="false">IFERROR(MATCH(96,'Work Master'!$N:$N,0),"")</f>
        <v/>
      </c>
    </row>
    <row r="98" customFormat="false" ht="15" hidden="false" customHeight="false" outlineLevel="0" collapsed="false">
      <c r="A98" s="10" t="str">
        <f aca="false">IF($H98="","",INDEX('Work Master'!$A:$A,$H98))</f>
        <v/>
      </c>
      <c r="B98" s="10" t="str">
        <f aca="false">IF($H98="","",INDEX('Work Master'!$C:$C,$H98))</f>
        <v/>
      </c>
      <c r="C98" s="10" t="str">
        <f aca="false">IF($H98="","",INDEX('Work Master'!$D:$D,$H98))</f>
        <v/>
      </c>
      <c r="D98" s="10" t="str">
        <f aca="false">IF($H98="","",INDEX('Work Master'!$F:$F,$H98))</f>
        <v/>
      </c>
      <c r="E98" s="18" t="str">
        <f aca="false">IF($H98="","",INDEX('Work Master'!$J:$J,$H98))</f>
        <v/>
      </c>
      <c r="F98" s="15" t="str">
        <f aca="false">IF($H98="","",INDEX('Work Master'!$G:$G,$H98))</f>
        <v/>
      </c>
      <c r="H98" s="0" t="str">
        <f aca="false">IFERROR(MATCH(97,'Work Master'!$N:$N,0),"")</f>
        <v/>
      </c>
    </row>
    <row r="99" customFormat="false" ht="15" hidden="false" customHeight="false" outlineLevel="0" collapsed="false">
      <c r="A99" s="10" t="str">
        <f aca="false">IF($H99="","",INDEX('Work Master'!$A:$A,$H99))</f>
        <v/>
      </c>
      <c r="B99" s="10" t="str">
        <f aca="false">IF($H99="","",INDEX('Work Master'!$C:$C,$H99))</f>
        <v/>
      </c>
      <c r="C99" s="10" t="str">
        <f aca="false">IF($H99="","",INDEX('Work Master'!$D:$D,$H99))</f>
        <v/>
      </c>
      <c r="D99" s="10" t="str">
        <f aca="false">IF($H99="","",INDEX('Work Master'!$F:$F,$H99))</f>
        <v/>
      </c>
      <c r="E99" s="18" t="str">
        <f aca="false">IF($H99="","",INDEX('Work Master'!$J:$J,$H99))</f>
        <v/>
      </c>
      <c r="F99" s="15" t="str">
        <f aca="false">IF($H99="","",INDEX('Work Master'!$G:$G,$H99))</f>
        <v/>
      </c>
      <c r="H99" s="0" t="str">
        <f aca="false">IFERROR(MATCH(98,'Work Master'!$N:$N,0),"")</f>
        <v/>
      </c>
    </row>
    <row r="100" customFormat="false" ht="15" hidden="false" customHeight="false" outlineLevel="0" collapsed="false">
      <c r="A100" s="10" t="str">
        <f aca="false">IF($H100="","",INDEX('Work Master'!$A:$A,$H100))</f>
        <v/>
      </c>
      <c r="B100" s="10" t="str">
        <f aca="false">IF($H100="","",INDEX('Work Master'!$C:$C,$H100))</f>
        <v/>
      </c>
      <c r="C100" s="10" t="str">
        <f aca="false">IF($H100="","",INDEX('Work Master'!$D:$D,$H100))</f>
        <v/>
      </c>
      <c r="D100" s="10" t="str">
        <f aca="false">IF($H100="","",INDEX('Work Master'!$F:$F,$H100))</f>
        <v/>
      </c>
      <c r="E100" s="18" t="str">
        <f aca="false">IF($H100="","",INDEX('Work Master'!$J:$J,$H100))</f>
        <v/>
      </c>
      <c r="F100" s="15" t="str">
        <f aca="false">IF($H100="","",INDEX('Work Master'!$G:$G,$H100))</f>
        <v/>
      </c>
      <c r="H100" s="0" t="str">
        <f aca="false">IFERROR(MATCH(99,'Work Master'!$N:$N,0),"")</f>
        <v/>
      </c>
    </row>
    <row r="101" customFormat="false" ht="15" hidden="false" customHeight="false" outlineLevel="0" collapsed="false">
      <c r="A101" s="10" t="str">
        <f aca="false">IF($H101="","",INDEX('Work Master'!$A:$A,$H101))</f>
        <v/>
      </c>
      <c r="B101" s="10" t="str">
        <f aca="false">IF($H101="","",INDEX('Work Master'!$C:$C,$H101))</f>
        <v/>
      </c>
      <c r="C101" s="10" t="str">
        <f aca="false">IF($H101="","",INDEX('Work Master'!$D:$D,$H101))</f>
        <v/>
      </c>
      <c r="D101" s="10" t="str">
        <f aca="false">IF($H101="","",INDEX('Work Master'!$F:$F,$H101))</f>
        <v/>
      </c>
      <c r="E101" s="18" t="str">
        <f aca="false">IF($H101="","",INDEX('Work Master'!$J:$J,$H101))</f>
        <v/>
      </c>
      <c r="F101" s="15" t="str">
        <f aca="false">IF($H101="","",INDEX('Work Master'!$G:$G,$H101))</f>
        <v/>
      </c>
      <c r="H101" s="0" t="str">
        <f aca="false">IFERROR(MATCH(100,'Work Master'!$N:$N,0),"")</f>
        <v/>
      </c>
    </row>
    <row r="102" customFormat="false" ht="15" hidden="false" customHeight="false" outlineLevel="0" collapsed="false">
      <c r="A102" s="10" t="str">
        <f aca="false">IF($H102="","",INDEX('Work Master'!$A:$A,$H102))</f>
        <v/>
      </c>
      <c r="B102" s="10" t="str">
        <f aca="false">IF($H102="","",INDEX('Work Master'!$C:$C,$H102))</f>
        <v/>
      </c>
      <c r="C102" s="10" t="str">
        <f aca="false">IF($H102="","",INDEX('Work Master'!$D:$D,$H102))</f>
        <v/>
      </c>
      <c r="D102" s="10" t="str">
        <f aca="false">IF($H102="","",INDEX('Work Master'!$F:$F,$H102))</f>
        <v/>
      </c>
      <c r="E102" s="18" t="str">
        <f aca="false">IF($H102="","",INDEX('Work Master'!$J:$J,$H102))</f>
        <v/>
      </c>
      <c r="F102" s="15" t="str">
        <f aca="false">IF($H102="","",INDEX('Work Master'!$G:$G,$H102))</f>
        <v/>
      </c>
      <c r="H102" s="0" t="str">
        <f aca="false">IFERROR(MATCH(101,'Work Master'!$N:$N,0),"")</f>
        <v/>
      </c>
    </row>
    <row r="103" customFormat="false" ht="15" hidden="false" customHeight="false" outlineLevel="0" collapsed="false">
      <c r="A103" s="10" t="str">
        <f aca="false">IF($H103="","",INDEX('Work Master'!$A:$A,$H103))</f>
        <v/>
      </c>
      <c r="B103" s="10" t="str">
        <f aca="false">IF($H103="","",INDEX('Work Master'!$C:$C,$H103))</f>
        <v/>
      </c>
      <c r="C103" s="10" t="str">
        <f aca="false">IF($H103="","",INDEX('Work Master'!$D:$D,$H103))</f>
        <v/>
      </c>
      <c r="D103" s="10" t="str">
        <f aca="false">IF($H103="","",INDEX('Work Master'!$F:$F,$H103))</f>
        <v/>
      </c>
      <c r="E103" s="18" t="str">
        <f aca="false">IF($H103="","",INDEX('Work Master'!$J:$J,$H103))</f>
        <v/>
      </c>
      <c r="F103" s="15" t="str">
        <f aca="false">IF($H103="","",INDEX('Work Master'!$G:$G,$H103))</f>
        <v/>
      </c>
      <c r="H103" s="0" t="str">
        <f aca="false">IFERROR(MATCH(102,'Work Master'!$N:$N,0),"")</f>
        <v/>
      </c>
    </row>
    <row r="104" customFormat="false" ht="15" hidden="false" customHeight="false" outlineLevel="0" collapsed="false">
      <c r="A104" s="10" t="str">
        <f aca="false">IF($H104="","",INDEX('Work Master'!$A:$A,$H104))</f>
        <v/>
      </c>
      <c r="B104" s="10" t="str">
        <f aca="false">IF($H104="","",INDEX('Work Master'!$C:$C,$H104))</f>
        <v/>
      </c>
      <c r="C104" s="10" t="str">
        <f aca="false">IF($H104="","",INDEX('Work Master'!$D:$D,$H104))</f>
        <v/>
      </c>
      <c r="D104" s="10" t="str">
        <f aca="false">IF($H104="","",INDEX('Work Master'!$F:$F,$H104))</f>
        <v/>
      </c>
      <c r="E104" s="18" t="str">
        <f aca="false">IF($H104="","",INDEX('Work Master'!$J:$J,$H104))</f>
        <v/>
      </c>
      <c r="F104" s="15" t="str">
        <f aca="false">IF($H104="","",INDEX('Work Master'!$G:$G,$H104))</f>
        <v/>
      </c>
      <c r="H104" s="0" t="str">
        <f aca="false">IFERROR(MATCH(103,'Work Master'!$N:$N,0),"")</f>
        <v/>
      </c>
    </row>
    <row r="105" customFormat="false" ht="15" hidden="false" customHeight="false" outlineLevel="0" collapsed="false">
      <c r="A105" s="10" t="str">
        <f aca="false">IF($H105="","",INDEX('Work Master'!$A:$A,$H105))</f>
        <v/>
      </c>
      <c r="B105" s="10" t="str">
        <f aca="false">IF($H105="","",INDEX('Work Master'!$C:$C,$H105))</f>
        <v/>
      </c>
      <c r="C105" s="10" t="str">
        <f aca="false">IF($H105="","",INDEX('Work Master'!$D:$D,$H105))</f>
        <v/>
      </c>
      <c r="D105" s="10" t="str">
        <f aca="false">IF($H105="","",INDEX('Work Master'!$F:$F,$H105))</f>
        <v/>
      </c>
      <c r="E105" s="18" t="str">
        <f aca="false">IF($H105="","",INDEX('Work Master'!$J:$J,$H105))</f>
        <v/>
      </c>
      <c r="F105" s="15" t="str">
        <f aca="false">IF($H105="","",INDEX('Work Master'!$G:$G,$H105))</f>
        <v/>
      </c>
      <c r="H105" s="0" t="str">
        <f aca="false">IFERROR(MATCH(104,'Work Master'!$N:$N,0),"")</f>
        <v/>
      </c>
    </row>
    <row r="106" customFormat="false" ht="15" hidden="false" customHeight="false" outlineLevel="0" collapsed="false">
      <c r="A106" s="10" t="str">
        <f aca="false">IF($H106="","",INDEX('Work Master'!$A:$A,$H106))</f>
        <v/>
      </c>
      <c r="B106" s="10" t="str">
        <f aca="false">IF($H106="","",INDEX('Work Master'!$C:$C,$H106))</f>
        <v/>
      </c>
      <c r="C106" s="10" t="str">
        <f aca="false">IF($H106="","",INDEX('Work Master'!$D:$D,$H106))</f>
        <v/>
      </c>
      <c r="D106" s="10" t="str">
        <f aca="false">IF($H106="","",INDEX('Work Master'!$F:$F,$H106))</f>
        <v/>
      </c>
      <c r="E106" s="18" t="str">
        <f aca="false">IF($H106="","",INDEX('Work Master'!$J:$J,$H106))</f>
        <v/>
      </c>
      <c r="F106" s="15" t="str">
        <f aca="false">IF($H106="","",INDEX('Work Master'!$G:$G,$H106))</f>
        <v/>
      </c>
      <c r="H106" s="0" t="str">
        <f aca="false">IFERROR(MATCH(105,'Work Master'!$N:$N,0),"")</f>
        <v/>
      </c>
    </row>
    <row r="107" customFormat="false" ht="15" hidden="false" customHeight="false" outlineLevel="0" collapsed="false">
      <c r="A107" s="10" t="str">
        <f aca="false">IF($H107="","",INDEX('Work Master'!$A:$A,$H107))</f>
        <v/>
      </c>
      <c r="B107" s="10" t="str">
        <f aca="false">IF($H107="","",INDEX('Work Master'!$C:$C,$H107))</f>
        <v/>
      </c>
      <c r="C107" s="10" t="str">
        <f aca="false">IF($H107="","",INDEX('Work Master'!$D:$D,$H107))</f>
        <v/>
      </c>
      <c r="D107" s="10" t="str">
        <f aca="false">IF($H107="","",INDEX('Work Master'!$F:$F,$H107))</f>
        <v/>
      </c>
      <c r="E107" s="18" t="str">
        <f aca="false">IF($H107="","",INDEX('Work Master'!$J:$J,$H107))</f>
        <v/>
      </c>
      <c r="F107" s="15" t="str">
        <f aca="false">IF($H107="","",INDEX('Work Master'!$G:$G,$H107))</f>
        <v/>
      </c>
      <c r="H107" s="0" t="str">
        <f aca="false">IFERROR(MATCH(106,'Work Master'!$N:$N,0),"")</f>
        <v/>
      </c>
    </row>
    <row r="108" customFormat="false" ht="15" hidden="false" customHeight="false" outlineLevel="0" collapsed="false">
      <c r="A108" s="10" t="str">
        <f aca="false">IF($H108="","",INDEX('Work Master'!$A:$A,$H108))</f>
        <v/>
      </c>
      <c r="B108" s="10" t="str">
        <f aca="false">IF($H108="","",INDEX('Work Master'!$C:$C,$H108))</f>
        <v/>
      </c>
      <c r="C108" s="10" t="str">
        <f aca="false">IF($H108="","",INDEX('Work Master'!$D:$D,$H108))</f>
        <v/>
      </c>
      <c r="D108" s="10" t="str">
        <f aca="false">IF($H108="","",INDEX('Work Master'!$F:$F,$H108))</f>
        <v/>
      </c>
      <c r="E108" s="18" t="str">
        <f aca="false">IF($H108="","",INDEX('Work Master'!$J:$J,$H108))</f>
        <v/>
      </c>
      <c r="F108" s="15" t="str">
        <f aca="false">IF($H108="","",INDEX('Work Master'!$G:$G,$H108))</f>
        <v/>
      </c>
      <c r="H108" s="0" t="str">
        <f aca="false">IFERROR(MATCH(107,'Work Master'!$N:$N,0),"")</f>
        <v/>
      </c>
    </row>
    <row r="109" customFormat="false" ht="15" hidden="false" customHeight="false" outlineLevel="0" collapsed="false">
      <c r="A109" s="10" t="str">
        <f aca="false">IF($H109="","",INDEX('Work Master'!$A:$A,$H109))</f>
        <v/>
      </c>
      <c r="B109" s="10" t="str">
        <f aca="false">IF($H109="","",INDEX('Work Master'!$C:$C,$H109))</f>
        <v/>
      </c>
      <c r="C109" s="10" t="str">
        <f aca="false">IF($H109="","",INDEX('Work Master'!$D:$D,$H109))</f>
        <v/>
      </c>
      <c r="D109" s="10" t="str">
        <f aca="false">IF($H109="","",INDEX('Work Master'!$F:$F,$H109))</f>
        <v/>
      </c>
      <c r="E109" s="18" t="str">
        <f aca="false">IF($H109="","",INDEX('Work Master'!$J:$J,$H109))</f>
        <v/>
      </c>
      <c r="F109" s="15" t="str">
        <f aca="false">IF($H109="","",INDEX('Work Master'!$G:$G,$H109))</f>
        <v/>
      </c>
      <c r="H109" s="0" t="str">
        <f aca="false">IFERROR(MATCH(108,'Work Master'!$N:$N,0),"")</f>
        <v/>
      </c>
    </row>
    <row r="110" customFormat="false" ht="15" hidden="false" customHeight="false" outlineLevel="0" collapsed="false">
      <c r="A110" s="10" t="str">
        <f aca="false">IF($H110="","",INDEX('Work Master'!$A:$A,$H110))</f>
        <v/>
      </c>
      <c r="B110" s="10" t="str">
        <f aca="false">IF($H110="","",INDEX('Work Master'!$C:$C,$H110))</f>
        <v/>
      </c>
      <c r="C110" s="10" t="str">
        <f aca="false">IF($H110="","",INDEX('Work Master'!$D:$D,$H110))</f>
        <v/>
      </c>
      <c r="D110" s="10" t="str">
        <f aca="false">IF($H110="","",INDEX('Work Master'!$F:$F,$H110))</f>
        <v/>
      </c>
      <c r="E110" s="18" t="str">
        <f aca="false">IF($H110="","",INDEX('Work Master'!$J:$J,$H110))</f>
        <v/>
      </c>
      <c r="F110" s="15" t="str">
        <f aca="false">IF($H110="","",INDEX('Work Master'!$G:$G,$H110))</f>
        <v/>
      </c>
      <c r="H110" s="0" t="str">
        <f aca="false">IFERROR(MATCH(109,'Work Master'!$N:$N,0),"")</f>
        <v/>
      </c>
    </row>
    <row r="111" customFormat="false" ht="15" hidden="false" customHeight="false" outlineLevel="0" collapsed="false">
      <c r="A111" s="10" t="str">
        <f aca="false">IF($H111="","",INDEX('Work Master'!$A:$A,$H111))</f>
        <v/>
      </c>
      <c r="B111" s="10" t="str">
        <f aca="false">IF($H111="","",INDEX('Work Master'!$C:$C,$H111))</f>
        <v/>
      </c>
      <c r="C111" s="10" t="str">
        <f aca="false">IF($H111="","",INDEX('Work Master'!$D:$D,$H111))</f>
        <v/>
      </c>
      <c r="D111" s="10" t="str">
        <f aca="false">IF($H111="","",INDEX('Work Master'!$F:$F,$H111))</f>
        <v/>
      </c>
      <c r="E111" s="18" t="str">
        <f aca="false">IF($H111="","",INDEX('Work Master'!$J:$J,$H111))</f>
        <v/>
      </c>
      <c r="F111" s="15" t="str">
        <f aca="false">IF($H111="","",INDEX('Work Master'!$G:$G,$H111))</f>
        <v/>
      </c>
      <c r="H111" s="0" t="str">
        <f aca="false">IFERROR(MATCH(110,'Work Master'!$N:$N,0),"")</f>
        <v/>
      </c>
    </row>
    <row r="112" customFormat="false" ht="15" hidden="false" customHeight="false" outlineLevel="0" collapsed="false">
      <c r="A112" s="10" t="str">
        <f aca="false">IF($H112="","",INDEX('Work Master'!$A:$A,$H112))</f>
        <v/>
      </c>
      <c r="B112" s="10" t="str">
        <f aca="false">IF($H112="","",INDEX('Work Master'!$C:$C,$H112))</f>
        <v/>
      </c>
      <c r="C112" s="10" t="str">
        <f aca="false">IF($H112="","",INDEX('Work Master'!$D:$D,$H112))</f>
        <v/>
      </c>
      <c r="D112" s="10" t="str">
        <f aca="false">IF($H112="","",INDEX('Work Master'!$F:$F,$H112))</f>
        <v/>
      </c>
      <c r="E112" s="18" t="str">
        <f aca="false">IF($H112="","",INDEX('Work Master'!$J:$J,$H112))</f>
        <v/>
      </c>
      <c r="F112" s="15" t="str">
        <f aca="false">IF($H112="","",INDEX('Work Master'!$G:$G,$H112))</f>
        <v/>
      </c>
      <c r="H112" s="0" t="str">
        <f aca="false">IFERROR(MATCH(111,'Work Master'!$N:$N,0),"")</f>
        <v/>
      </c>
    </row>
    <row r="113" customFormat="false" ht="15" hidden="false" customHeight="false" outlineLevel="0" collapsed="false">
      <c r="A113" s="10" t="str">
        <f aca="false">IF($H113="","",INDEX('Work Master'!$A:$A,$H113))</f>
        <v/>
      </c>
      <c r="B113" s="10" t="str">
        <f aca="false">IF($H113="","",INDEX('Work Master'!$C:$C,$H113))</f>
        <v/>
      </c>
      <c r="C113" s="10" t="str">
        <f aca="false">IF($H113="","",INDEX('Work Master'!$D:$D,$H113))</f>
        <v/>
      </c>
      <c r="D113" s="10" t="str">
        <f aca="false">IF($H113="","",INDEX('Work Master'!$F:$F,$H113))</f>
        <v/>
      </c>
      <c r="E113" s="18" t="str">
        <f aca="false">IF($H113="","",INDEX('Work Master'!$J:$J,$H113))</f>
        <v/>
      </c>
      <c r="F113" s="15" t="str">
        <f aca="false">IF($H113="","",INDEX('Work Master'!$G:$G,$H113))</f>
        <v/>
      </c>
      <c r="H113" s="0" t="str">
        <f aca="false">IFERROR(MATCH(112,'Work Master'!$N:$N,0),"")</f>
        <v/>
      </c>
    </row>
    <row r="114" customFormat="false" ht="15" hidden="false" customHeight="false" outlineLevel="0" collapsed="false">
      <c r="A114" s="10" t="str">
        <f aca="false">IF($H114="","",INDEX('Work Master'!$A:$A,$H114))</f>
        <v/>
      </c>
      <c r="B114" s="10" t="str">
        <f aca="false">IF($H114="","",INDEX('Work Master'!$C:$C,$H114))</f>
        <v/>
      </c>
      <c r="C114" s="10" t="str">
        <f aca="false">IF($H114="","",INDEX('Work Master'!$D:$D,$H114))</f>
        <v/>
      </c>
      <c r="D114" s="10" t="str">
        <f aca="false">IF($H114="","",INDEX('Work Master'!$F:$F,$H114))</f>
        <v/>
      </c>
      <c r="E114" s="18" t="str">
        <f aca="false">IF($H114="","",INDEX('Work Master'!$J:$J,$H114))</f>
        <v/>
      </c>
      <c r="F114" s="15" t="str">
        <f aca="false">IF($H114="","",INDEX('Work Master'!$G:$G,$H114))</f>
        <v/>
      </c>
      <c r="H114" s="0" t="str">
        <f aca="false">IFERROR(MATCH(113,'Work Master'!$N:$N,0),"")</f>
        <v/>
      </c>
    </row>
    <row r="115" customFormat="false" ht="15" hidden="false" customHeight="false" outlineLevel="0" collapsed="false">
      <c r="A115" s="10" t="str">
        <f aca="false">IF($H115="","",INDEX('Work Master'!$A:$A,$H115))</f>
        <v/>
      </c>
      <c r="B115" s="10" t="str">
        <f aca="false">IF($H115="","",INDEX('Work Master'!$C:$C,$H115))</f>
        <v/>
      </c>
      <c r="C115" s="10" t="str">
        <f aca="false">IF($H115="","",INDEX('Work Master'!$D:$D,$H115))</f>
        <v/>
      </c>
      <c r="D115" s="10" t="str">
        <f aca="false">IF($H115="","",INDEX('Work Master'!$F:$F,$H115))</f>
        <v/>
      </c>
      <c r="E115" s="18" t="str">
        <f aca="false">IF($H115="","",INDEX('Work Master'!$J:$J,$H115))</f>
        <v/>
      </c>
      <c r="F115" s="15" t="str">
        <f aca="false">IF($H115="","",INDEX('Work Master'!$G:$G,$H115))</f>
        <v/>
      </c>
      <c r="H115" s="0" t="str">
        <f aca="false">IFERROR(MATCH(114,'Work Master'!$N:$N,0),"")</f>
        <v/>
      </c>
    </row>
    <row r="116" customFormat="false" ht="15" hidden="false" customHeight="false" outlineLevel="0" collapsed="false">
      <c r="A116" s="10" t="str">
        <f aca="false">IF($H116="","",INDEX('Work Master'!$A:$A,$H116))</f>
        <v/>
      </c>
      <c r="B116" s="10" t="str">
        <f aca="false">IF($H116="","",INDEX('Work Master'!$C:$C,$H116))</f>
        <v/>
      </c>
      <c r="C116" s="10" t="str">
        <f aca="false">IF($H116="","",INDEX('Work Master'!$D:$D,$H116))</f>
        <v/>
      </c>
      <c r="D116" s="10" t="str">
        <f aca="false">IF($H116="","",INDEX('Work Master'!$F:$F,$H116))</f>
        <v/>
      </c>
      <c r="E116" s="18" t="str">
        <f aca="false">IF($H116="","",INDEX('Work Master'!$J:$J,$H116))</f>
        <v/>
      </c>
      <c r="F116" s="15" t="str">
        <f aca="false">IF($H116="","",INDEX('Work Master'!$G:$G,$H116))</f>
        <v/>
      </c>
      <c r="H116" s="0" t="str">
        <f aca="false">IFERROR(MATCH(115,'Work Master'!$N:$N,0),"")</f>
        <v/>
      </c>
    </row>
    <row r="117" customFormat="false" ht="15" hidden="false" customHeight="false" outlineLevel="0" collapsed="false">
      <c r="A117" s="10" t="str">
        <f aca="false">IF($H117="","",INDEX('Work Master'!$A:$A,$H117))</f>
        <v/>
      </c>
      <c r="B117" s="10" t="str">
        <f aca="false">IF($H117="","",INDEX('Work Master'!$C:$C,$H117))</f>
        <v/>
      </c>
      <c r="C117" s="10" t="str">
        <f aca="false">IF($H117="","",INDEX('Work Master'!$D:$D,$H117))</f>
        <v/>
      </c>
      <c r="D117" s="10" t="str">
        <f aca="false">IF($H117="","",INDEX('Work Master'!$F:$F,$H117))</f>
        <v/>
      </c>
      <c r="E117" s="18" t="str">
        <f aca="false">IF($H117="","",INDEX('Work Master'!$J:$J,$H117))</f>
        <v/>
      </c>
      <c r="F117" s="15" t="str">
        <f aca="false">IF($H117="","",INDEX('Work Master'!$G:$G,$H117))</f>
        <v/>
      </c>
      <c r="H117" s="0" t="str">
        <f aca="false">IFERROR(MATCH(116,'Work Master'!$N:$N,0),"")</f>
        <v/>
      </c>
    </row>
    <row r="118" customFormat="false" ht="15" hidden="false" customHeight="false" outlineLevel="0" collapsed="false">
      <c r="A118" s="10" t="str">
        <f aca="false">IF($H118="","",INDEX('Work Master'!$A:$A,$H118))</f>
        <v/>
      </c>
      <c r="B118" s="10" t="str">
        <f aca="false">IF($H118="","",INDEX('Work Master'!$C:$C,$H118))</f>
        <v/>
      </c>
      <c r="C118" s="10" t="str">
        <f aca="false">IF($H118="","",INDEX('Work Master'!$D:$D,$H118))</f>
        <v/>
      </c>
      <c r="D118" s="10" t="str">
        <f aca="false">IF($H118="","",INDEX('Work Master'!$F:$F,$H118))</f>
        <v/>
      </c>
      <c r="E118" s="18" t="str">
        <f aca="false">IF($H118="","",INDEX('Work Master'!$J:$J,$H118))</f>
        <v/>
      </c>
      <c r="F118" s="15" t="str">
        <f aca="false">IF($H118="","",INDEX('Work Master'!$G:$G,$H118))</f>
        <v/>
      </c>
      <c r="H118" s="0" t="str">
        <f aca="false">IFERROR(MATCH(117,'Work Master'!$N:$N,0),"")</f>
        <v/>
      </c>
    </row>
    <row r="119" customFormat="false" ht="15" hidden="false" customHeight="false" outlineLevel="0" collapsed="false">
      <c r="A119" s="10" t="str">
        <f aca="false">IF($H119="","",INDEX('Work Master'!$A:$A,$H119))</f>
        <v/>
      </c>
      <c r="B119" s="10" t="str">
        <f aca="false">IF($H119="","",INDEX('Work Master'!$C:$C,$H119))</f>
        <v/>
      </c>
      <c r="C119" s="10" t="str">
        <f aca="false">IF($H119="","",INDEX('Work Master'!$D:$D,$H119))</f>
        <v/>
      </c>
      <c r="D119" s="10" t="str">
        <f aca="false">IF($H119="","",INDEX('Work Master'!$F:$F,$H119))</f>
        <v/>
      </c>
      <c r="E119" s="18" t="str">
        <f aca="false">IF($H119="","",INDEX('Work Master'!$J:$J,$H119))</f>
        <v/>
      </c>
      <c r="F119" s="15" t="str">
        <f aca="false">IF($H119="","",INDEX('Work Master'!$G:$G,$H119))</f>
        <v/>
      </c>
      <c r="H119" s="0" t="str">
        <f aca="false">IFERROR(MATCH(118,'Work Master'!$N:$N,0),"")</f>
        <v/>
      </c>
    </row>
    <row r="120" customFormat="false" ht="15" hidden="false" customHeight="false" outlineLevel="0" collapsed="false">
      <c r="A120" s="10" t="str">
        <f aca="false">IF($H120="","",INDEX('Work Master'!$A:$A,$H120))</f>
        <v/>
      </c>
      <c r="B120" s="10" t="str">
        <f aca="false">IF($H120="","",INDEX('Work Master'!$C:$C,$H120))</f>
        <v/>
      </c>
      <c r="C120" s="10" t="str">
        <f aca="false">IF($H120="","",INDEX('Work Master'!$D:$D,$H120))</f>
        <v/>
      </c>
      <c r="D120" s="10" t="str">
        <f aca="false">IF($H120="","",INDEX('Work Master'!$F:$F,$H120))</f>
        <v/>
      </c>
      <c r="E120" s="18" t="str">
        <f aca="false">IF($H120="","",INDEX('Work Master'!$J:$J,$H120))</f>
        <v/>
      </c>
      <c r="F120" s="15" t="str">
        <f aca="false">IF($H120="","",INDEX('Work Master'!$G:$G,$H120))</f>
        <v/>
      </c>
      <c r="H120" s="0" t="str">
        <f aca="false">IFERROR(MATCH(119,'Work Master'!$N:$N,0),"")</f>
        <v/>
      </c>
    </row>
    <row r="121" customFormat="false" ht="15" hidden="false" customHeight="false" outlineLevel="0" collapsed="false">
      <c r="A121" s="10" t="str">
        <f aca="false">IF($H121="","",INDEX('Work Master'!$A:$A,$H121))</f>
        <v/>
      </c>
      <c r="B121" s="10" t="str">
        <f aca="false">IF($H121="","",INDEX('Work Master'!$C:$C,$H121))</f>
        <v/>
      </c>
      <c r="C121" s="10" t="str">
        <f aca="false">IF($H121="","",INDEX('Work Master'!$D:$D,$H121))</f>
        <v/>
      </c>
      <c r="D121" s="10" t="str">
        <f aca="false">IF($H121="","",INDEX('Work Master'!$F:$F,$H121))</f>
        <v/>
      </c>
      <c r="E121" s="18" t="str">
        <f aca="false">IF($H121="","",INDEX('Work Master'!$J:$J,$H121))</f>
        <v/>
      </c>
      <c r="F121" s="15" t="str">
        <f aca="false">IF($H121="","",INDEX('Work Master'!$G:$G,$H121))</f>
        <v/>
      </c>
      <c r="H121" s="0" t="str">
        <f aca="false">IFERROR(MATCH(120,'Work Master'!$N:$N,0),"")</f>
        <v/>
      </c>
    </row>
    <row r="122" customFormat="false" ht="15" hidden="false" customHeight="false" outlineLevel="0" collapsed="false">
      <c r="A122" s="10" t="str">
        <f aca="false">IF($H122="","",INDEX('Work Master'!$A:$A,$H122))</f>
        <v/>
      </c>
      <c r="B122" s="10" t="str">
        <f aca="false">IF($H122="","",INDEX('Work Master'!$C:$C,$H122))</f>
        <v/>
      </c>
      <c r="C122" s="10" t="str">
        <f aca="false">IF($H122="","",INDEX('Work Master'!$D:$D,$H122))</f>
        <v/>
      </c>
      <c r="D122" s="10" t="str">
        <f aca="false">IF($H122="","",INDEX('Work Master'!$F:$F,$H122))</f>
        <v/>
      </c>
      <c r="E122" s="18" t="str">
        <f aca="false">IF($H122="","",INDEX('Work Master'!$J:$J,$H122))</f>
        <v/>
      </c>
      <c r="F122" s="15" t="str">
        <f aca="false">IF($H122="","",INDEX('Work Master'!$G:$G,$H122))</f>
        <v/>
      </c>
      <c r="H122" s="0" t="str">
        <f aca="false">IFERROR(MATCH(121,'Work Master'!$N:$N,0),"")</f>
        <v/>
      </c>
    </row>
    <row r="123" customFormat="false" ht="15" hidden="false" customHeight="false" outlineLevel="0" collapsed="false">
      <c r="A123" s="10" t="str">
        <f aca="false">IF($H123="","",INDEX('Work Master'!$A:$A,$H123))</f>
        <v/>
      </c>
      <c r="B123" s="10" t="str">
        <f aca="false">IF($H123="","",INDEX('Work Master'!$C:$C,$H123))</f>
        <v/>
      </c>
      <c r="C123" s="10" t="str">
        <f aca="false">IF($H123="","",INDEX('Work Master'!$D:$D,$H123))</f>
        <v/>
      </c>
      <c r="D123" s="10" t="str">
        <f aca="false">IF($H123="","",INDEX('Work Master'!$F:$F,$H123))</f>
        <v/>
      </c>
      <c r="E123" s="18" t="str">
        <f aca="false">IF($H123="","",INDEX('Work Master'!$J:$J,$H123))</f>
        <v/>
      </c>
      <c r="F123" s="15" t="str">
        <f aca="false">IF($H123="","",INDEX('Work Master'!$G:$G,$H123))</f>
        <v/>
      </c>
      <c r="H123" s="0" t="str">
        <f aca="false">IFERROR(MATCH(122,'Work Master'!$N:$N,0),"")</f>
        <v/>
      </c>
    </row>
    <row r="124" customFormat="false" ht="15" hidden="false" customHeight="false" outlineLevel="0" collapsed="false">
      <c r="A124" s="10" t="str">
        <f aca="false">IF($H124="","",INDEX('Work Master'!$A:$A,$H124))</f>
        <v/>
      </c>
      <c r="B124" s="10" t="str">
        <f aca="false">IF($H124="","",INDEX('Work Master'!$C:$C,$H124))</f>
        <v/>
      </c>
      <c r="C124" s="10" t="str">
        <f aca="false">IF($H124="","",INDEX('Work Master'!$D:$D,$H124))</f>
        <v/>
      </c>
      <c r="D124" s="10" t="str">
        <f aca="false">IF($H124="","",INDEX('Work Master'!$F:$F,$H124))</f>
        <v/>
      </c>
      <c r="E124" s="18" t="str">
        <f aca="false">IF($H124="","",INDEX('Work Master'!$J:$J,$H124))</f>
        <v/>
      </c>
      <c r="F124" s="15" t="str">
        <f aca="false">IF($H124="","",INDEX('Work Master'!$G:$G,$H124))</f>
        <v/>
      </c>
      <c r="H124" s="0" t="str">
        <f aca="false">IFERROR(MATCH(123,'Work Master'!$N:$N,0),"")</f>
        <v/>
      </c>
    </row>
    <row r="125" customFormat="false" ht="15" hidden="false" customHeight="false" outlineLevel="0" collapsed="false">
      <c r="A125" s="10" t="str">
        <f aca="false">IF($H125="","",INDEX('Work Master'!$A:$A,$H125))</f>
        <v/>
      </c>
      <c r="B125" s="10" t="str">
        <f aca="false">IF($H125="","",INDEX('Work Master'!$C:$C,$H125))</f>
        <v/>
      </c>
      <c r="C125" s="10" t="str">
        <f aca="false">IF($H125="","",INDEX('Work Master'!$D:$D,$H125))</f>
        <v/>
      </c>
      <c r="D125" s="10" t="str">
        <f aca="false">IF($H125="","",INDEX('Work Master'!$F:$F,$H125))</f>
        <v/>
      </c>
      <c r="E125" s="18" t="str">
        <f aca="false">IF($H125="","",INDEX('Work Master'!$J:$J,$H125))</f>
        <v/>
      </c>
      <c r="F125" s="15" t="str">
        <f aca="false">IF($H125="","",INDEX('Work Master'!$G:$G,$H125))</f>
        <v/>
      </c>
      <c r="H125" s="0" t="str">
        <f aca="false">IFERROR(MATCH(124,'Work Master'!$N:$N,0),"")</f>
        <v/>
      </c>
    </row>
    <row r="126" customFormat="false" ht="15" hidden="false" customHeight="false" outlineLevel="0" collapsed="false">
      <c r="A126" s="10" t="str">
        <f aca="false">IF($H126="","",INDEX('Work Master'!$A:$A,$H126))</f>
        <v/>
      </c>
      <c r="B126" s="10" t="str">
        <f aca="false">IF($H126="","",INDEX('Work Master'!$C:$C,$H126))</f>
        <v/>
      </c>
      <c r="C126" s="10" t="str">
        <f aca="false">IF($H126="","",INDEX('Work Master'!$D:$D,$H126))</f>
        <v/>
      </c>
      <c r="D126" s="10" t="str">
        <f aca="false">IF($H126="","",INDEX('Work Master'!$F:$F,$H126))</f>
        <v/>
      </c>
      <c r="E126" s="18" t="str">
        <f aca="false">IF($H126="","",INDEX('Work Master'!$J:$J,$H126))</f>
        <v/>
      </c>
      <c r="F126" s="15" t="str">
        <f aca="false">IF($H126="","",INDEX('Work Master'!$G:$G,$H126))</f>
        <v/>
      </c>
      <c r="H126" s="0" t="str">
        <f aca="false">IFERROR(MATCH(125,'Work Master'!$N:$N,0),"")</f>
        <v/>
      </c>
    </row>
    <row r="127" customFormat="false" ht="15" hidden="false" customHeight="false" outlineLevel="0" collapsed="false">
      <c r="A127" s="10" t="str">
        <f aca="false">IF($H127="","",INDEX('Work Master'!$A:$A,$H127))</f>
        <v/>
      </c>
      <c r="B127" s="10" t="str">
        <f aca="false">IF($H127="","",INDEX('Work Master'!$C:$C,$H127))</f>
        <v/>
      </c>
      <c r="C127" s="10" t="str">
        <f aca="false">IF($H127="","",INDEX('Work Master'!$D:$D,$H127))</f>
        <v/>
      </c>
      <c r="D127" s="10" t="str">
        <f aca="false">IF($H127="","",INDEX('Work Master'!$F:$F,$H127))</f>
        <v/>
      </c>
      <c r="E127" s="18" t="str">
        <f aca="false">IF($H127="","",INDEX('Work Master'!$J:$J,$H127))</f>
        <v/>
      </c>
      <c r="F127" s="15" t="str">
        <f aca="false">IF($H127="","",INDEX('Work Master'!$G:$G,$H127))</f>
        <v/>
      </c>
      <c r="H127" s="0" t="str">
        <f aca="false">IFERROR(MATCH(126,'Work Master'!$N:$N,0),"")</f>
        <v/>
      </c>
    </row>
    <row r="128" customFormat="false" ht="15" hidden="false" customHeight="false" outlineLevel="0" collapsed="false">
      <c r="A128" s="10" t="str">
        <f aca="false">IF($H128="","",INDEX('Work Master'!$A:$A,$H128))</f>
        <v/>
      </c>
      <c r="B128" s="10" t="str">
        <f aca="false">IF($H128="","",INDEX('Work Master'!$C:$C,$H128))</f>
        <v/>
      </c>
      <c r="C128" s="10" t="str">
        <f aca="false">IF($H128="","",INDEX('Work Master'!$D:$D,$H128))</f>
        <v/>
      </c>
      <c r="D128" s="10" t="str">
        <f aca="false">IF($H128="","",INDEX('Work Master'!$F:$F,$H128))</f>
        <v/>
      </c>
      <c r="E128" s="18" t="str">
        <f aca="false">IF($H128="","",INDEX('Work Master'!$J:$J,$H128))</f>
        <v/>
      </c>
      <c r="F128" s="15" t="str">
        <f aca="false">IF($H128="","",INDEX('Work Master'!$G:$G,$H128))</f>
        <v/>
      </c>
      <c r="H128" s="0" t="str">
        <f aca="false">IFERROR(MATCH(127,'Work Master'!$N:$N,0),"")</f>
        <v/>
      </c>
    </row>
    <row r="129" customFormat="false" ht="15" hidden="false" customHeight="false" outlineLevel="0" collapsed="false">
      <c r="A129" s="10" t="str">
        <f aca="false">IF($H129="","",INDEX('Work Master'!$A:$A,$H129))</f>
        <v/>
      </c>
      <c r="B129" s="10" t="str">
        <f aca="false">IF($H129="","",INDEX('Work Master'!$C:$C,$H129))</f>
        <v/>
      </c>
      <c r="C129" s="10" t="str">
        <f aca="false">IF($H129="","",INDEX('Work Master'!$D:$D,$H129))</f>
        <v/>
      </c>
      <c r="D129" s="10" t="str">
        <f aca="false">IF($H129="","",INDEX('Work Master'!$F:$F,$H129))</f>
        <v/>
      </c>
      <c r="E129" s="18" t="str">
        <f aca="false">IF($H129="","",INDEX('Work Master'!$J:$J,$H129))</f>
        <v/>
      </c>
      <c r="F129" s="15" t="str">
        <f aca="false">IF($H129="","",INDEX('Work Master'!$G:$G,$H129))</f>
        <v/>
      </c>
      <c r="H129" s="0" t="str">
        <f aca="false">IFERROR(MATCH(128,'Work Master'!$N:$N,0),"")</f>
        <v/>
      </c>
    </row>
    <row r="130" customFormat="false" ht="15" hidden="false" customHeight="false" outlineLevel="0" collapsed="false">
      <c r="A130" s="10" t="str">
        <f aca="false">IF($H130="","",INDEX('Work Master'!$A:$A,$H130))</f>
        <v/>
      </c>
      <c r="B130" s="10" t="str">
        <f aca="false">IF($H130="","",INDEX('Work Master'!$C:$C,$H130))</f>
        <v/>
      </c>
      <c r="C130" s="10" t="str">
        <f aca="false">IF($H130="","",INDEX('Work Master'!$D:$D,$H130))</f>
        <v/>
      </c>
      <c r="D130" s="10" t="str">
        <f aca="false">IF($H130="","",INDEX('Work Master'!$F:$F,$H130))</f>
        <v/>
      </c>
      <c r="E130" s="18" t="str">
        <f aca="false">IF($H130="","",INDEX('Work Master'!$J:$J,$H130))</f>
        <v/>
      </c>
      <c r="F130" s="15" t="str">
        <f aca="false">IF($H130="","",INDEX('Work Master'!$G:$G,$H130))</f>
        <v/>
      </c>
      <c r="H130" s="0" t="str">
        <f aca="false">IFERROR(MATCH(129,'Work Master'!$N:$N,0),"")</f>
        <v/>
      </c>
    </row>
    <row r="131" customFormat="false" ht="15" hidden="false" customHeight="false" outlineLevel="0" collapsed="false">
      <c r="A131" s="10" t="str">
        <f aca="false">IF($H131="","",INDEX('Work Master'!$A:$A,$H131))</f>
        <v/>
      </c>
      <c r="B131" s="10" t="str">
        <f aca="false">IF($H131="","",INDEX('Work Master'!$C:$C,$H131))</f>
        <v/>
      </c>
      <c r="C131" s="10" t="str">
        <f aca="false">IF($H131="","",INDEX('Work Master'!$D:$D,$H131))</f>
        <v/>
      </c>
      <c r="D131" s="10" t="str">
        <f aca="false">IF($H131="","",INDEX('Work Master'!$F:$F,$H131))</f>
        <v/>
      </c>
      <c r="E131" s="18" t="str">
        <f aca="false">IF($H131="","",INDEX('Work Master'!$J:$J,$H131))</f>
        <v/>
      </c>
      <c r="F131" s="15" t="str">
        <f aca="false">IF($H131="","",INDEX('Work Master'!$G:$G,$H131))</f>
        <v/>
      </c>
      <c r="H131" s="0" t="str">
        <f aca="false">IFERROR(MATCH(130,'Work Master'!$N:$N,0),"")</f>
        <v/>
      </c>
    </row>
    <row r="132" customFormat="false" ht="15" hidden="false" customHeight="false" outlineLevel="0" collapsed="false">
      <c r="A132" s="10" t="str">
        <f aca="false">IF($H132="","",INDEX('Work Master'!$A:$A,$H132))</f>
        <v/>
      </c>
      <c r="B132" s="10" t="str">
        <f aca="false">IF($H132="","",INDEX('Work Master'!$C:$C,$H132))</f>
        <v/>
      </c>
      <c r="C132" s="10" t="str">
        <f aca="false">IF($H132="","",INDEX('Work Master'!$D:$D,$H132))</f>
        <v/>
      </c>
      <c r="D132" s="10" t="str">
        <f aca="false">IF($H132="","",INDEX('Work Master'!$F:$F,$H132))</f>
        <v/>
      </c>
      <c r="E132" s="18" t="str">
        <f aca="false">IF($H132="","",INDEX('Work Master'!$J:$J,$H132))</f>
        <v/>
      </c>
      <c r="F132" s="15" t="str">
        <f aca="false">IF($H132="","",INDEX('Work Master'!$G:$G,$H132))</f>
        <v/>
      </c>
      <c r="H132" s="0" t="str">
        <f aca="false">IFERROR(MATCH(131,'Work Master'!$N:$N,0),"")</f>
        <v/>
      </c>
    </row>
    <row r="133" customFormat="false" ht="15" hidden="false" customHeight="false" outlineLevel="0" collapsed="false">
      <c r="A133" s="10" t="str">
        <f aca="false">IF($H133="","",INDEX('Work Master'!$A:$A,$H133))</f>
        <v/>
      </c>
      <c r="B133" s="10" t="str">
        <f aca="false">IF($H133="","",INDEX('Work Master'!$C:$C,$H133))</f>
        <v/>
      </c>
      <c r="C133" s="10" t="str">
        <f aca="false">IF($H133="","",INDEX('Work Master'!$D:$D,$H133))</f>
        <v/>
      </c>
      <c r="D133" s="10" t="str">
        <f aca="false">IF($H133="","",INDEX('Work Master'!$F:$F,$H133))</f>
        <v/>
      </c>
      <c r="E133" s="18" t="str">
        <f aca="false">IF($H133="","",INDEX('Work Master'!$J:$J,$H133))</f>
        <v/>
      </c>
      <c r="F133" s="15" t="str">
        <f aca="false">IF($H133="","",INDEX('Work Master'!$G:$G,$H133))</f>
        <v/>
      </c>
      <c r="H133" s="0" t="str">
        <f aca="false">IFERROR(MATCH(132,'Work Master'!$N:$N,0),"")</f>
        <v/>
      </c>
    </row>
    <row r="134" customFormat="false" ht="15" hidden="false" customHeight="false" outlineLevel="0" collapsed="false">
      <c r="A134" s="10" t="str">
        <f aca="false">IF($H134="","",INDEX('Work Master'!$A:$A,$H134))</f>
        <v/>
      </c>
      <c r="B134" s="10" t="str">
        <f aca="false">IF($H134="","",INDEX('Work Master'!$C:$C,$H134))</f>
        <v/>
      </c>
      <c r="C134" s="10" t="str">
        <f aca="false">IF($H134="","",INDEX('Work Master'!$D:$D,$H134))</f>
        <v/>
      </c>
      <c r="D134" s="10" t="str">
        <f aca="false">IF($H134="","",INDEX('Work Master'!$F:$F,$H134))</f>
        <v/>
      </c>
      <c r="E134" s="18" t="str">
        <f aca="false">IF($H134="","",INDEX('Work Master'!$J:$J,$H134))</f>
        <v/>
      </c>
      <c r="F134" s="15" t="str">
        <f aca="false">IF($H134="","",INDEX('Work Master'!$G:$G,$H134))</f>
        <v/>
      </c>
      <c r="H134" s="0" t="str">
        <f aca="false">IFERROR(MATCH(133,'Work Master'!$N:$N,0),"")</f>
        <v/>
      </c>
    </row>
    <row r="135" customFormat="false" ht="15" hidden="false" customHeight="false" outlineLevel="0" collapsed="false">
      <c r="A135" s="10" t="str">
        <f aca="false">IF($H135="","",INDEX('Work Master'!$A:$A,$H135))</f>
        <v/>
      </c>
      <c r="B135" s="10" t="str">
        <f aca="false">IF($H135="","",INDEX('Work Master'!$C:$C,$H135))</f>
        <v/>
      </c>
      <c r="C135" s="10" t="str">
        <f aca="false">IF($H135="","",INDEX('Work Master'!$D:$D,$H135))</f>
        <v/>
      </c>
      <c r="D135" s="10" t="str">
        <f aca="false">IF($H135="","",INDEX('Work Master'!$F:$F,$H135))</f>
        <v/>
      </c>
      <c r="E135" s="18" t="str">
        <f aca="false">IF($H135="","",INDEX('Work Master'!$J:$J,$H135))</f>
        <v/>
      </c>
      <c r="F135" s="15" t="str">
        <f aca="false">IF($H135="","",INDEX('Work Master'!$G:$G,$H135))</f>
        <v/>
      </c>
      <c r="H135" s="0" t="str">
        <f aca="false">IFERROR(MATCH(134,'Work Master'!$N:$N,0),"")</f>
        <v/>
      </c>
    </row>
    <row r="136" customFormat="false" ht="15" hidden="false" customHeight="false" outlineLevel="0" collapsed="false">
      <c r="A136" s="10" t="str">
        <f aca="false">IF($H136="","",INDEX('Work Master'!$A:$A,$H136))</f>
        <v/>
      </c>
      <c r="B136" s="10" t="str">
        <f aca="false">IF($H136="","",INDEX('Work Master'!$C:$C,$H136))</f>
        <v/>
      </c>
      <c r="C136" s="10" t="str">
        <f aca="false">IF($H136="","",INDEX('Work Master'!$D:$D,$H136))</f>
        <v/>
      </c>
      <c r="D136" s="10" t="str">
        <f aca="false">IF($H136="","",INDEX('Work Master'!$F:$F,$H136))</f>
        <v/>
      </c>
      <c r="E136" s="18" t="str">
        <f aca="false">IF($H136="","",INDEX('Work Master'!$J:$J,$H136))</f>
        <v/>
      </c>
      <c r="F136" s="15" t="str">
        <f aca="false">IF($H136="","",INDEX('Work Master'!$G:$G,$H136))</f>
        <v/>
      </c>
      <c r="H136" s="0" t="str">
        <f aca="false">IFERROR(MATCH(135,'Work Master'!$N:$N,0),"")</f>
        <v/>
      </c>
    </row>
    <row r="137" customFormat="false" ht="15" hidden="false" customHeight="false" outlineLevel="0" collapsed="false">
      <c r="A137" s="10" t="str">
        <f aca="false">IF($H137="","",INDEX('Work Master'!$A:$A,$H137))</f>
        <v/>
      </c>
      <c r="B137" s="10" t="str">
        <f aca="false">IF($H137="","",INDEX('Work Master'!$C:$C,$H137))</f>
        <v/>
      </c>
      <c r="C137" s="10" t="str">
        <f aca="false">IF($H137="","",INDEX('Work Master'!$D:$D,$H137))</f>
        <v/>
      </c>
      <c r="D137" s="10" t="str">
        <f aca="false">IF($H137="","",INDEX('Work Master'!$F:$F,$H137))</f>
        <v/>
      </c>
      <c r="E137" s="18" t="str">
        <f aca="false">IF($H137="","",INDEX('Work Master'!$J:$J,$H137))</f>
        <v/>
      </c>
      <c r="F137" s="15" t="str">
        <f aca="false">IF($H137="","",INDEX('Work Master'!$G:$G,$H137))</f>
        <v/>
      </c>
      <c r="H137" s="0" t="str">
        <f aca="false">IFERROR(MATCH(136,'Work Master'!$N:$N,0),"")</f>
        <v/>
      </c>
    </row>
    <row r="138" customFormat="false" ht="15" hidden="false" customHeight="false" outlineLevel="0" collapsed="false">
      <c r="A138" s="10" t="str">
        <f aca="false">IF($H138="","",INDEX('Work Master'!$A:$A,$H138))</f>
        <v/>
      </c>
      <c r="B138" s="10" t="str">
        <f aca="false">IF($H138="","",INDEX('Work Master'!$C:$C,$H138))</f>
        <v/>
      </c>
      <c r="C138" s="10" t="str">
        <f aca="false">IF($H138="","",INDEX('Work Master'!$D:$D,$H138))</f>
        <v/>
      </c>
      <c r="D138" s="10" t="str">
        <f aca="false">IF($H138="","",INDEX('Work Master'!$F:$F,$H138))</f>
        <v/>
      </c>
      <c r="E138" s="18" t="str">
        <f aca="false">IF($H138="","",INDEX('Work Master'!$J:$J,$H138))</f>
        <v/>
      </c>
      <c r="F138" s="15" t="str">
        <f aca="false">IF($H138="","",INDEX('Work Master'!$G:$G,$H138))</f>
        <v/>
      </c>
      <c r="H138" s="0" t="str">
        <f aca="false">IFERROR(MATCH(137,'Work Master'!$N:$N,0),"")</f>
        <v/>
      </c>
    </row>
    <row r="139" customFormat="false" ht="15" hidden="false" customHeight="false" outlineLevel="0" collapsed="false">
      <c r="A139" s="10" t="str">
        <f aca="false">IF($H139="","",INDEX('Work Master'!$A:$A,$H139))</f>
        <v/>
      </c>
      <c r="B139" s="10" t="str">
        <f aca="false">IF($H139="","",INDEX('Work Master'!$C:$C,$H139))</f>
        <v/>
      </c>
      <c r="C139" s="10" t="str">
        <f aca="false">IF($H139="","",INDEX('Work Master'!$D:$D,$H139))</f>
        <v/>
      </c>
      <c r="D139" s="10" t="str">
        <f aca="false">IF($H139="","",INDEX('Work Master'!$F:$F,$H139))</f>
        <v/>
      </c>
      <c r="E139" s="18" t="str">
        <f aca="false">IF($H139="","",INDEX('Work Master'!$J:$J,$H139))</f>
        <v/>
      </c>
      <c r="F139" s="15" t="str">
        <f aca="false">IF($H139="","",INDEX('Work Master'!$G:$G,$H139))</f>
        <v/>
      </c>
      <c r="H139" s="0" t="str">
        <f aca="false">IFERROR(MATCH(138,'Work Master'!$N:$N,0),"")</f>
        <v/>
      </c>
    </row>
    <row r="140" customFormat="false" ht="15" hidden="false" customHeight="false" outlineLevel="0" collapsed="false">
      <c r="A140" s="10" t="str">
        <f aca="false">IF($H140="","",INDEX('Work Master'!$A:$A,$H140))</f>
        <v/>
      </c>
      <c r="B140" s="10" t="str">
        <f aca="false">IF($H140="","",INDEX('Work Master'!$C:$C,$H140))</f>
        <v/>
      </c>
      <c r="C140" s="10" t="str">
        <f aca="false">IF($H140="","",INDEX('Work Master'!$D:$D,$H140))</f>
        <v/>
      </c>
      <c r="D140" s="10" t="str">
        <f aca="false">IF($H140="","",INDEX('Work Master'!$F:$F,$H140))</f>
        <v/>
      </c>
      <c r="E140" s="18" t="str">
        <f aca="false">IF($H140="","",INDEX('Work Master'!$J:$J,$H140))</f>
        <v/>
      </c>
      <c r="F140" s="15" t="str">
        <f aca="false">IF($H140="","",INDEX('Work Master'!$G:$G,$H140))</f>
        <v/>
      </c>
      <c r="H140" s="0" t="str">
        <f aca="false">IFERROR(MATCH(139,'Work Master'!$N:$N,0),"")</f>
        <v/>
      </c>
    </row>
    <row r="141" customFormat="false" ht="15" hidden="false" customHeight="false" outlineLevel="0" collapsed="false">
      <c r="A141" s="10" t="str">
        <f aca="false">IF($H141="","",INDEX('Work Master'!$A:$A,$H141))</f>
        <v/>
      </c>
      <c r="B141" s="10" t="str">
        <f aca="false">IF($H141="","",INDEX('Work Master'!$C:$C,$H141))</f>
        <v/>
      </c>
      <c r="C141" s="10" t="str">
        <f aca="false">IF($H141="","",INDEX('Work Master'!$D:$D,$H141))</f>
        <v/>
      </c>
      <c r="D141" s="10" t="str">
        <f aca="false">IF($H141="","",INDEX('Work Master'!$F:$F,$H141))</f>
        <v/>
      </c>
      <c r="E141" s="18" t="str">
        <f aca="false">IF($H141="","",INDEX('Work Master'!$J:$J,$H141))</f>
        <v/>
      </c>
      <c r="F141" s="15" t="str">
        <f aca="false">IF($H141="","",INDEX('Work Master'!$G:$G,$H141))</f>
        <v/>
      </c>
      <c r="H141" s="0" t="str">
        <f aca="false">IFERROR(MATCH(140,'Work Master'!$N:$N,0),"")</f>
        <v/>
      </c>
    </row>
    <row r="142" customFormat="false" ht="15" hidden="false" customHeight="false" outlineLevel="0" collapsed="false">
      <c r="A142" s="10" t="str">
        <f aca="false">IF($H142="","",INDEX('Work Master'!$A:$A,$H142))</f>
        <v/>
      </c>
      <c r="B142" s="10" t="str">
        <f aca="false">IF($H142="","",INDEX('Work Master'!$C:$C,$H142))</f>
        <v/>
      </c>
      <c r="C142" s="10" t="str">
        <f aca="false">IF($H142="","",INDEX('Work Master'!$D:$D,$H142))</f>
        <v/>
      </c>
      <c r="D142" s="10" t="str">
        <f aca="false">IF($H142="","",INDEX('Work Master'!$F:$F,$H142))</f>
        <v/>
      </c>
      <c r="E142" s="18" t="str">
        <f aca="false">IF($H142="","",INDEX('Work Master'!$J:$J,$H142))</f>
        <v/>
      </c>
      <c r="F142" s="15" t="str">
        <f aca="false">IF($H142="","",INDEX('Work Master'!$G:$G,$H142))</f>
        <v/>
      </c>
      <c r="H142" s="0" t="str">
        <f aca="false">IFERROR(MATCH(141,'Work Master'!$N:$N,0),"")</f>
        <v/>
      </c>
    </row>
    <row r="143" customFormat="false" ht="15" hidden="false" customHeight="false" outlineLevel="0" collapsed="false">
      <c r="A143" s="10" t="str">
        <f aca="false">IF($H143="","",INDEX('Work Master'!$A:$A,$H143))</f>
        <v/>
      </c>
      <c r="B143" s="10" t="str">
        <f aca="false">IF($H143="","",INDEX('Work Master'!$C:$C,$H143))</f>
        <v/>
      </c>
      <c r="C143" s="10" t="str">
        <f aca="false">IF($H143="","",INDEX('Work Master'!$D:$D,$H143))</f>
        <v/>
      </c>
      <c r="D143" s="10" t="str">
        <f aca="false">IF($H143="","",INDEX('Work Master'!$F:$F,$H143))</f>
        <v/>
      </c>
      <c r="E143" s="18" t="str">
        <f aca="false">IF($H143="","",INDEX('Work Master'!$J:$J,$H143))</f>
        <v/>
      </c>
      <c r="F143" s="15" t="str">
        <f aca="false">IF($H143="","",INDEX('Work Master'!$G:$G,$H143))</f>
        <v/>
      </c>
      <c r="H143" s="0" t="str">
        <f aca="false">IFERROR(MATCH(142,'Work Master'!$N:$N,0),"")</f>
        <v/>
      </c>
    </row>
    <row r="144" customFormat="false" ht="15" hidden="false" customHeight="false" outlineLevel="0" collapsed="false">
      <c r="A144" s="10" t="str">
        <f aca="false">IF($H144="","",INDEX('Work Master'!$A:$A,$H144))</f>
        <v/>
      </c>
      <c r="B144" s="10" t="str">
        <f aca="false">IF($H144="","",INDEX('Work Master'!$C:$C,$H144))</f>
        <v/>
      </c>
      <c r="C144" s="10" t="str">
        <f aca="false">IF($H144="","",INDEX('Work Master'!$D:$D,$H144))</f>
        <v/>
      </c>
      <c r="D144" s="10" t="str">
        <f aca="false">IF($H144="","",INDEX('Work Master'!$F:$F,$H144))</f>
        <v/>
      </c>
      <c r="E144" s="18" t="str">
        <f aca="false">IF($H144="","",INDEX('Work Master'!$J:$J,$H144))</f>
        <v/>
      </c>
      <c r="F144" s="15" t="str">
        <f aca="false">IF($H144="","",INDEX('Work Master'!$G:$G,$H144))</f>
        <v/>
      </c>
      <c r="H144" s="0" t="str">
        <f aca="false">IFERROR(MATCH(143,'Work Master'!$N:$N,0),"")</f>
        <v/>
      </c>
    </row>
    <row r="145" customFormat="false" ht="15" hidden="false" customHeight="false" outlineLevel="0" collapsed="false">
      <c r="A145" s="10" t="str">
        <f aca="false">IF($H145="","",INDEX('Work Master'!$A:$A,$H145))</f>
        <v/>
      </c>
      <c r="B145" s="10" t="str">
        <f aca="false">IF($H145="","",INDEX('Work Master'!$C:$C,$H145))</f>
        <v/>
      </c>
      <c r="C145" s="10" t="str">
        <f aca="false">IF($H145="","",INDEX('Work Master'!$D:$D,$H145))</f>
        <v/>
      </c>
      <c r="D145" s="10" t="str">
        <f aca="false">IF($H145="","",INDEX('Work Master'!$F:$F,$H145))</f>
        <v/>
      </c>
      <c r="E145" s="18" t="str">
        <f aca="false">IF($H145="","",INDEX('Work Master'!$J:$J,$H145))</f>
        <v/>
      </c>
      <c r="F145" s="15" t="str">
        <f aca="false">IF($H145="","",INDEX('Work Master'!$G:$G,$H145))</f>
        <v/>
      </c>
      <c r="H145" s="0" t="str">
        <f aca="false">IFERROR(MATCH(144,'Work Master'!$N:$N,0),"")</f>
        <v/>
      </c>
    </row>
    <row r="146" customFormat="false" ht="15" hidden="false" customHeight="false" outlineLevel="0" collapsed="false">
      <c r="A146" s="10" t="str">
        <f aca="false">IF($H146="","",INDEX('Work Master'!$A:$A,$H146))</f>
        <v/>
      </c>
      <c r="B146" s="10" t="str">
        <f aca="false">IF($H146="","",INDEX('Work Master'!$C:$C,$H146))</f>
        <v/>
      </c>
      <c r="C146" s="10" t="str">
        <f aca="false">IF($H146="","",INDEX('Work Master'!$D:$D,$H146))</f>
        <v/>
      </c>
      <c r="D146" s="10" t="str">
        <f aca="false">IF($H146="","",INDEX('Work Master'!$F:$F,$H146))</f>
        <v/>
      </c>
      <c r="E146" s="18" t="str">
        <f aca="false">IF($H146="","",INDEX('Work Master'!$J:$J,$H146))</f>
        <v/>
      </c>
      <c r="F146" s="15" t="str">
        <f aca="false">IF($H146="","",INDEX('Work Master'!$G:$G,$H146))</f>
        <v/>
      </c>
      <c r="H146" s="0" t="str">
        <f aca="false">IFERROR(MATCH(145,'Work Master'!$N:$N,0),"")</f>
        <v/>
      </c>
    </row>
    <row r="147" customFormat="false" ht="15" hidden="false" customHeight="false" outlineLevel="0" collapsed="false">
      <c r="A147" s="10" t="str">
        <f aca="false">IF($H147="","",INDEX('Work Master'!$A:$A,$H147))</f>
        <v/>
      </c>
      <c r="B147" s="10" t="str">
        <f aca="false">IF($H147="","",INDEX('Work Master'!$C:$C,$H147))</f>
        <v/>
      </c>
      <c r="C147" s="10" t="str">
        <f aca="false">IF($H147="","",INDEX('Work Master'!$D:$D,$H147))</f>
        <v/>
      </c>
      <c r="D147" s="10" t="str">
        <f aca="false">IF($H147="","",INDEX('Work Master'!$F:$F,$H147))</f>
        <v/>
      </c>
      <c r="E147" s="18" t="str">
        <f aca="false">IF($H147="","",INDEX('Work Master'!$J:$J,$H147))</f>
        <v/>
      </c>
      <c r="F147" s="15" t="str">
        <f aca="false">IF($H147="","",INDEX('Work Master'!$G:$G,$H147))</f>
        <v/>
      </c>
      <c r="H147" s="0" t="str">
        <f aca="false">IFERROR(MATCH(146,'Work Master'!$N:$N,0),"")</f>
        <v/>
      </c>
    </row>
    <row r="148" customFormat="false" ht="15" hidden="false" customHeight="false" outlineLevel="0" collapsed="false">
      <c r="A148" s="10" t="str">
        <f aca="false">IF($H148="","",INDEX('Work Master'!$A:$A,$H148))</f>
        <v/>
      </c>
      <c r="B148" s="10" t="str">
        <f aca="false">IF($H148="","",INDEX('Work Master'!$C:$C,$H148))</f>
        <v/>
      </c>
      <c r="C148" s="10" t="str">
        <f aca="false">IF($H148="","",INDEX('Work Master'!$D:$D,$H148))</f>
        <v/>
      </c>
      <c r="D148" s="10" t="str">
        <f aca="false">IF($H148="","",INDEX('Work Master'!$F:$F,$H148))</f>
        <v/>
      </c>
      <c r="E148" s="18" t="str">
        <f aca="false">IF($H148="","",INDEX('Work Master'!$J:$J,$H148))</f>
        <v/>
      </c>
      <c r="F148" s="15" t="str">
        <f aca="false">IF($H148="","",INDEX('Work Master'!$G:$G,$H148))</f>
        <v/>
      </c>
      <c r="H148" s="0" t="str">
        <f aca="false">IFERROR(MATCH(147,'Work Master'!$N:$N,0),"")</f>
        <v/>
      </c>
    </row>
    <row r="149" customFormat="false" ht="15" hidden="false" customHeight="false" outlineLevel="0" collapsed="false">
      <c r="A149" s="10" t="str">
        <f aca="false">IF($H149="","",INDEX('Work Master'!$A:$A,$H149))</f>
        <v/>
      </c>
      <c r="B149" s="10" t="str">
        <f aca="false">IF($H149="","",INDEX('Work Master'!$C:$C,$H149))</f>
        <v/>
      </c>
      <c r="C149" s="10" t="str">
        <f aca="false">IF($H149="","",INDEX('Work Master'!$D:$D,$H149))</f>
        <v/>
      </c>
      <c r="D149" s="10" t="str">
        <f aca="false">IF($H149="","",INDEX('Work Master'!$F:$F,$H149))</f>
        <v/>
      </c>
      <c r="E149" s="18" t="str">
        <f aca="false">IF($H149="","",INDEX('Work Master'!$J:$J,$H149))</f>
        <v/>
      </c>
      <c r="F149" s="15" t="str">
        <f aca="false">IF($H149="","",INDEX('Work Master'!$G:$G,$H149))</f>
        <v/>
      </c>
      <c r="H149" s="0" t="str">
        <f aca="false">IFERROR(MATCH(148,'Work Master'!$N:$N,0),"")</f>
        <v/>
      </c>
    </row>
    <row r="150" customFormat="false" ht="15" hidden="false" customHeight="false" outlineLevel="0" collapsed="false">
      <c r="A150" s="10" t="str">
        <f aca="false">IF($H150="","",INDEX('Work Master'!$A:$A,$H150))</f>
        <v/>
      </c>
      <c r="B150" s="10" t="str">
        <f aca="false">IF($H150="","",INDEX('Work Master'!$C:$C,$H150))</f>
        <v/>
      </c>
      <c r="C150" s="10" t="str">
        <f aca="false">IF($H150="","",INDEX('Work Master'!$D:$D,$H150))</f>
        <v/>
      </c>
      <c r="D150" s="10" t="str">
        <f aca="false">IF($H150="","",INDEX('Work Master'!$F:$F,$H150))</f>
        <v/>
      </c>
      <c r="E150" s="18" t="str">
        <f aca="false">IF($H150="","",INDEX('Work Master'!$J:$J,$H150))</f>
        <v/>
      </c>
      <c r="F150" s="15" t="str">
        <f aca="false">IF($H150="","",INDEX('Work Master'!$G:$G,$H150))</f>
        <v/>
      </c>
      <c r="H150" s="0" t="str">
        <f aca="false">IFERROR(MATCH(149,'Work Master'!$N:$N,0),"")</f>
        <v/>
      </c>
    </row>
    <row r="151" customFormat="false" ht="15" hidden="false" customHeight="false" outlineLevel="0" collapsed="false">
      <c r="A151" s="10" t="str">
        <f aca="false">IF($H151="","",INDEX('Work Master'!$A:$A,$H151))</f>
        <v/>
      </c>
      <c r="B151" s="10" t="str">
        <f aca="false">IF($H151="","",INDEX('Work Master'!$C:$C,$H151))</f>
        <v/>
      </c>
      <c r="C151" s="10" t="str">
        <f aca="false">IF($H151="","",INDEX('Work Master'!$D:$D,$H151))</f>
        <v/>
      </c>
      <c r="D151" s="10" t="str">
        <f aca="false">IF($H151="","",INDEX('Work Master'!$F:$F,$H151))</f>
        <v/>
      </c>
      <c r="E151" s="18" t="str">
        <f aca="false">IF($H151="","",INDEX('Work Master'!$J:$J,$H151))</f>
        <v/>
      </c>
      <c r="F151" s="15" t="str">
        <f aca="false">IF($H151="","",INDEX('Work Master'!$G:$G,$H151))</f>
        <v/>
      </c>
      <c r="H151" s="0" t="str">
        <f aca="false">IFERROR(MATCH(150,'Work Master'!$N:$N,0),"")</f>
        <v/>
      </c>
    </row>
    <row r="152" customFormat="false" ht="15" hidden="false" customHeight="false" outlineLevel="0" collapsed="false">
      <c r="A152" s="10" t="str">
        <f aca="false">IF($H152="","",INDEX('Work Master'!$A:$A,$H152))</f>
        <v/>
      </c>
      <c r="B152" s="10" t="str">
        <f aca="false">IF($H152="","",INDEX('Work Master'!$C:$C,$H152))</f>
        <v/>
      </c>
      <c r="C152" s="10" t="str">
        <f aca="false">IF($H152="","",INDEX('Work Master'!$D:$D,$H152))</f>
        <v/>
      </c>
      <c r="D152" s="10" t="str">
        <f aca="false">IF($H152="","",INDEX('Work Master'!$F:$F,$H152))</f>
        <v/>
      </c>
      <c r="E152" s="18" t="str">
        <f aca="false">IF($H152="","",INDEX('Work Master'!$J:$J,$H152))</f>
        <v/>
      </c>
      <c r="F152" s="15" t="str">
        <f aca="false">IF($H152="","",INDEX('Work Master'!$G:$G,$H152))</f>
        <v/>
      </c>
      <c r="H152" s="0" t="str">
        <f aca="false">IFERROR(MATCH(151,'Work Master'!$N:$N,0),"")</f>
        <v/>
      </c>
    </row>
    <row r="153" customFormat="false" ht="15" hidden="false" customHeight="false" outlineLevel="0" collapsed="false">
      <c r="A153" s="10" t="str">
        <f aca="false">IF($H153="","",INDEX('Work Master'!$A:$A,$H153))</f>
        <v/>
      </c>
      <c r="B153" s="10" t="str">
        <f aca="false">IF($H153="","",INDEX('Work Master'!$C:$C,$H153))</f>
        <v/>
      </c>
      <c r="C153" s="10" t="str">
        <f aca="false">IF($H153="","",INDEX('Work Master'!$D:$D,$H153))</f>
        <v/>
      </c>
      <c r="D153" s="10" t="str">
        <f aca="false">IF($H153="","",INDEX('Work Master'!$F:$F,$H153))</f>
        <v/>
      </c>
      <c r="E153" s="18" t="str">
        <f aca="false">IF($H153="","",INDEX('Work Master'!$J:$J,$H153))</f>
        <v/>
      </c>
      <c r="F153" s="15" t="str">
        <f aca="false">IF($H153="","",INDEX('Work Master'!$G:$G,$H153))</f>
        <v/>
      </c>
      <c r="H153" s="0" t="str">
        <f aca="false">IFERROR(MATCH(152,'Work Master'!$N:$N,0),"")</f>
        <v/>
      </c>
    </row>
    <row r="154" customFormat="false" ht="15" hidden="false" customHeight="false" outlineLevel="0" collapsed="false">
      <c r="A154" s="10" t="str">
        <f aca="false">IF($H154="","",INDEX('Work Master'!$A:$A,$H154))</f>
        <v/>
      </c>
      <c r="B154" s="10" t="str">
        <f aca="false">IF($H154="","",INDEX('Work Master'!$C:$C,$H154))</f>
        <v/>
      </c>
      <c r="C154" s="10" t="str">
        <f aca="false">IF($H154="","",INDEX('Work Master'!$D:$D,$H154))</f>
        <v/>
      </c>
      <c r="D154" s="10" t="str">
        <f aca="false">IF($H154="","",INDEX('Work Master'!$F:$F,$H154))</f>
        <v/>
      </c>
      <c r="E154" s="18" t="str">
        <f aca="false">IF($H154="","",INDEX('Work Master'!$J:$J,$H154))</f>
        <v/>
      </c>
      <c r="F154" s="15" t="str">
        <f aca="false">IF($H154="","",INDEX('Work Master'!$G:$G,$H154))</f>
        <v/>
      </c>
      <c r="H154" s="0" t="str">
        <f aca="false">IFERROR(MATCH(153,'Work Master'!$N:$N,0),"")</f>
        <v/>
      </c>
    </row>
    <row r="155" customFormat="false" ht="15" hidden="false" customHeight="false" outlineLevel="0" collapsed="false">
      <c r="A155" s="10" t="str">
        <f aca="false">IF($H155="","",INDEX('Work Master'!$A:$A,$H155))</f>
        <v/>
      </c>
      <c r="B155" s="10" t="str">
        <f aca="false">IF($H155="","",INDEX('Work Master'!$C:$C,$H155))</f>
        <v/>
      </c>
      <c r="C155" s="10" t="str">
        <f aca="false">IF($H155="","",INDEX('Work Master'!$D:$D,$H155))</f>
        <v/>
      </c>
      <c r="D155" s="10" t="str">
        <f aca="false">IF($H155="","",INDEX('Work Master'!$F:$F,$H155))</f>
        <v/>
      </c>
      <c r="E155" s="18" t="str">
        <f aca="false">IF($H155="","",INDEX('Work Master'!$J:$J,$H155))</f>
        <v/>
      </c>
      <c r="F155" s="15" t="str">
        <f aca="false">IF($H155="","",INDEX('Work Master'!$G:$G,$H155))</f>
        <v/>
      </c>
      <c r="H155" s="0" t="str">
        <f aca="false">IFERROR(MATCH(154,'Work Master'!$N:$N,0),"")</f>
        <v/>
      </c>
    </row>
    <row r="156" customFormat="false" ht="15" hidden="false" customHeight="false" outlineLevel="0" collapsed="false">
      <c r="A156" s="10" t="str">
        <f aca="false">IF($H156="","",INDEX('Work Master'!$A:$A,$H156))</f>
        <v/>
      </c>
      <c r="B156" s="10" t="str">
        <f aca="false">IF($H156="","",INDEX('Work Master'!$C:$C,$H156))</f>
        <v/>
      </c>
      <c r="C156" s="10" t="str">
        <f aca="false">IF($H156="","",INDEX('Work Master'!$D:$D,$H156))</f>
        <v/>
      </c>
      <c r="D156" s="10" t="str">
        <f aca="false">IF($H156="","",INDEX('Work Master'!$F:$F,$H156))</f>
        <v/>
      </c>
      <c r="E156" s="18" t="str">
        <f aca="false">IF($H156="","",INDEX('Work Master'!$J:$J,$H156))</f>
        <v/>
      </c>
      <c r="F156" s="15" t="str">
        <f aca="false">IF($H156="","",INDEX('Work Master'!$G:$G,$H156))</f>
        <v/>
      </c>
      <c r="H156" s="0" t="str">
        <f aca="false">IFERROR(MATCH(155,'Work Master'!$N:$N,0),"")</f>
        <v/>
      </c>
    </row>
    <row r="157" customFormat="false" ht="15" hidden="false" customHeight="false" outlineLevel="0" collapsed="false">
      <c r="A157" s="10" t="str">
        <f aca="false">IF($H157="","",INDEX('Work Master'!$A:$A,$H157))</f>
        <v/>
      </c>
      <c r="B157" s="10" t="str">
        <f aca="false">IF($H157="","",INDEX('Work Master'!$C:$C,$H157))</f>
        <v/>
      </c>
      <c r="C157" s="10" t="str">
        <f aca="false">IF($H157="","",INDEX('Work Master'!$D:$D,$H157))</f>
        <v/>
      </c>
      <c r="D157" s="10" t="str">
        <f aca="false">IF($H157="","",INDEX('Work Master'!$F:$F,$H157))</f>
        <v/>
      </c>
      <c r="E157" s="18" t="str">
        <f aca="false">IF($H157="","",INDEX('Work Master'!$J:$J,$H157))</f>
        <v/>
      </c>
      <c r="F157" s="15" t="str">
        <f aca="false">IF($H157="","",INDEX('Work Master'!$G:$G,$H157))</f>
        <v/>
      </c>
      <c r="H157" s="0" t="str">
        <f aca="false">IFERROR(MATCH(156,'Work Master'!$N:$N,0),"")</f>
        <v/>
      </c>
    </row>
    <row r="158" customFormat="false" ht="15" hidden="false" customHeight="false" outlineLevel="0" collapsed="false">
      <c r="A158" s="10" t="str">
        <f aca="false">IF($H158="","",INDEX('Work Master'!$A:$A,$H158))</f>
        <v/>
      </c>
      <c r="B158" s="10" t="str">
        <f aca="false">IF($H158="","",INDEX('Work Master'!$C:$C,$H158))</f>
        <v/>
      </c>
      <c r="C158" s="10" t="str">
        <f aca="false">IF($H158="","",INDEX('Work Master'!$D:$D,$H158))</f>
        <v/>
      </c>
      <c r="D158" s="10" t="str">
        <f aca="false">IF($H158="","",INDEX('Work Master'!$F:$F,$H158))</f>
        <v/>
      </c>
      <c r="E158" s="18" t="str">
        <f aca="false">IF($H158="","",INDEX('Work Master'!$J:$J,$H158))</f>
        <v/>
      </c>
      <c r="F158" s="15" t="str">
        <f aca="false">IF($H158="","",INDEX('Work Master'!$G:$G,$H158))</f>
        <v/>
      </c>
      <c r="H158" s="0" t="str">
        <f aca="false">IFERROR(MATCH(157,'Work Master'!$N:$N,0),"")</f>
        <v/>
      </c>
    </row>
    <row r="159" customFormat="false" ht="15" hidden="false" customHeight="false" outlineLevel="0" collapsed="false">
      <c r="A159" s="10" t="str">
        <f aca="false">IF($H159="","",INDEX('Work Master'!$A:$A,$H159))</f>
        <v/>
      </c>
      <c r="B159" s="10" t="str">
        <f aca="false">IF($H159="","",INDEX('Work Master'!$C:$C,$H159))</f>
        <v/>
      </c>
      <c r="C159" s="10" t="str">
        <f aca="false">IF($H159="","",INDEX('Work Master'!$D:$D,$H159))</f>
        <v/>
      </c>
      <c r="D159" s="10" t="str">
        <f aca="false">IF($H159="","",INDEX('Work Master'!$F:$F,$H159))</f>
        <v/>
      </c>
      <c r="E159" s="18" t="str">
        <f aca="false">IF($H159="","",INDEX('Work Master'!$J:$J,$H159))</f>
        <v/>
      </c>
      <c r="F159" s="15" t="str">
        <f aca="false">IF($H159="","",INDEX('Work Master'!$G:$G,$H159))</f>
        <v/>
      </c>
      <c r="H159" s="0" t="str">
        <f aca="false">IFERROR(MATCH(158,'Work Master'!$N:$N,0),"")</f>
        <v/>
      </c>
    </row>
    <row r="160" customFormat="false" ht="15" hidden="false" customHeight="false" outlineLevel="0" collapsed="false">
      <c r="A160" s="10" t="str">
        <f aca="false">IF($H160="","",INDEX('Work Master'!$A:$A,$H160))</f>
        <v/>
      </c>
      <c r="B160" s="10" t="str">
        <f aca="false">IF($H160="","",INDEX('Work Master'!$C:$C,$H160))</f>
        <v/>
      </c>
      <c r="C160" s="10" t="str">
        <f aca="false">IF($H160="","",INDEX('Work Master'!$D:$D,$H160))</f>
        <v/>
      </c>
      <c r="D160" s="10" t="str">
        <f aca="false">IF($H160="","",INDEX('Work Master'!$F:$F,$H160))</f>
        <v/>
      </c>
      <c r="E160" s="18" t="str">
        <f aca="false">IF($H160="","",INDEX('Work Master'!$J:$J,$H160))</f>
        <v/>
      </c>
      <c r="F160" s="15" t="str">
        <f aca="false">IF($H160="","",INDEX('Work Master'!$G:$G,$H160))</f>
        <v/>
      </c>
      <c r="H160" s="0" t="str">
        <f aca="false">IFERROR(MATCH(159,'Work Master'!$N:$N,0),"")</f>
        <v/>
      </c>
    </row>
    <row r="161" customFormat="false" ht="15" hidden="false" customHeight="false" outlineLevel="0" collapsed="false">
      <c r="A161" s="10" t="str">
        <f aca="false">IF($H161="","",INDEX('Work Master'!$A:$A,$H161))</f>
        <v/>
      </c>
      <c r="B161" s="10" t="str">
        <f aca="false">IF($H161="","",INDEX('Work Master'!$C:$C,$H161))</f>
        <v/>
      </c>
      <c r="C161" s="10" t="str">
        <f aca="false">IF($H161="","",INDEX('Work Master'!$D:$D,$H161))</f>
        <v/>
      </c>
      <c r="D161" s="10" t="str">
        <f aca="false">IF($H161="","",INDEX('Work Master'!$F:$F,$H161))</f>
        <v/>
      </c>
      <c r="E161" s="18" t="str">
        <f aca="false">IF($H161="","",INDEX('Work Master'!$J:$J,$H161))</f>
        <v/>
      </c>
      <c r="F161" s="15" t="str">
        <f aca="false">IF($H161="","",INDEX('Work Master'!$G:$G,$H161))</f>
        <v/>
      </c>
      <c r="H161" s="0" t="str">
        <f aca="false">IFERROR(MATCH(160,'Work Master'!$N:$N,0),"")</f>
        <v/>
      </c>
    </row>
    <row r="162" customFormat="false" ht="15" hidden="false" customHeight="false" outlineLevel="0" collapsed="false">
      <c r="A162" s="10" t="str">
        <f aca="false">IF($H162="","",INDEX('Work Master'!$A:$A,$H162))</f>
        <v/>
      </c>
      <c r="B162" s="10" t="str">
        <f aca="false">IF($H162="","",INDEX('Work Master'!$C:$C,$H162))</f>
        <v/>
      </c>
      <c r="C162" s="10" t="str">
        <f aca="false">IF($H162="","",INDEX('Work Master'!$D:$D,$H162))</f>
        <v/>
      </c>
      <c r="D162" s="10" t="str">
        <f aca="false">IF($H162="","",INDEX('Work Master'!$F:$F,$H162))</f>
        <v/>
      </c>
      <c r="E162" s="18" t="str">
        <f aca="false">IF($H162="","",INDEX('Work Master'!$J:$J,$H162))</f>
        <v/>
      </c>
      <c r="F162" s="15" t="str">
        <f aca="false">IF($H162="","",INDEX('Work Master'!$G:$G,$H162))</f>
        <v/>
      </c>
      <c r="H162" s="0" t="str">
        <f aca="false">IFERROR(MATCH(161,'Work Master'!$N:$N,0),"")</f>
        <v/>
      </c>
    </row>
    <row r="163" customFormat="false" ht="15" hidden="false" customHeight="false" outlineLevel="0" collapsed="false">
      <c r="A163" s="10" t="str">
        <f aca="false">IF($H163="","",INDEX('Work Master'!$A:$A,$H163))</f>
        <v/>
      </c>
      <c r="B163" s="10" t="str">
        <f aca="false">IF($H163="","",INDEX('Work Master'!$C:$C,$H163))</f>
        <v/>
      </c>
      <c r="C163" s="10" t="str">
        <f aca="false">IF($H163="","",INDEX('Work Master'!$D:$D,$H163))</f>
        <v/>
      </c>
      <c r="D163" s="10" t="str">
        <f aca="false">IF($H163="","",INDEX('Work Master'!$F:$F,$H163))</f>
        <v/>
      </c>
      <c r="E163" s="18" t="str">
        <f aca="false">IF($H163="","",INDEX('Work Master'!$J:$J,$H163))</f>
        <v/>
      </c>
      <c r="F163" s="15" t="str">
        <f aca="false">IF($H163="","",INDEX('Work Master'!$G:$G,$H163))</f>
        <v/>
      </c>
      <c r="H163" s="0" t="str">
        <f aca="false">IFERROR(MATCH(162,'Work Master'!$N:$N,0),"")</f>
        <v/>
      </c>
    </row>
    <row r="164" customFormat="false" ht="15" hidden="false" customHeight="false" outlineLevel="0" collapsed="false">
      <c r="A164" s="10" t="str">
        <f aca="false">IF($H164="","",INDEX('Work Master'!$A:$A,$H164))</f>
        <v/>
      </c>
      <c r="B164" s="10" t="str">
        <f aca="false">IF($H164="","",INDEX('Work Master'!$C:$C,$H164))</f>
        <v/>
      </c>
      <c r="C164" s="10" t="str">
        <f aca="false">IF($H164="","",INDEX('Work Master'!$D:$D,$H164))</f>
        <v/>
      </c>
      <c r="D164" s="10" t="str">
        <f aca="false">IF($H164="","",INDEX('Work Master'!$F:$F,$H164))</f>
        <v/>
      </c>
      <c r="E164" s="18" t="str">
        <f aca="false">IF($H164="","",INDEX('Work Master'!$J:$J,$H164))</f>
        <v/>
      </c>
      <c r="F164" s="15" t="str">
        <f aca="false">IF($H164="","",INDEX('Work Master'!$G:$G,$H164))</f>
        <v/>
      </c>
      <c r="H164" s="0" t="str">
        <f aca="false">IFERROR(MATCH(163,'Work Master'!$N:$N,0),"")</f>
        <v/>
      </c>
    </row>
    <row r="165" customFormat="false" ht="15" hidden="false" customHeight="false" outlineLevel="0" collapsed="false">
      <c r="A165" s="10" t="str">
        <f aca="false">IF($H165="","",INDEX('Work Master'!$A:$A,$H165))</f>
        <v/>
      </c>
      <c r="B165" s="10" t="str">
        <f aca="false">IF($H165="","",INDEX('Work Master'!$C:$C,$H165))</f>
        <v/>
      </c>
      <c r="C165" s="10" t="str">
        <f aca="false">IF($H165="","",INDEX('Work Master'!$D:$D,$H165))</f>
        <v/>
      </c>
      <c r="D165" s="10" t="str">
        <f aca="false">IF($H165="","",INDEX('Work Master'!$F:$F,$H165))</f>
        <v/>
      </c>
      <c r="E165" s="18" t="str">
        <f aca="false">IF($H165="","",INDEX('Work Master'!$J:$J,$H165))</f>
        <v/>
      </c>
      <c r="F165" s="15" t="str">
        <f aca="false">IF($H165="","",INDEX('Work Master'!$G:$G,$H165))</f>
        <v/>
      </c>
      <c r="H165" s="0" t="str">
        <f aca="false">IFERROR(MATCH(164,'Work Master'!$N:$N,0),"")</f>
        <v/>
      </c>
    </row>
    <row r="166" customFormat="false" ht="15" hidden="false" customHeight="false" outlineLevel="0" collapsed="false">
      <c r="A166" s="10" t="str">
        <f aca="false">IF($H166="","",INDEX('Work Master'!$A:$A,$H166))</f>
        <v/>
      </c>
      <c r="B166" s="10" t="str">
        <f aca="false">IF($H166="","",INDEX('Work Master'!$C:$C,$H166))</f>
        <v/>
      </c>
      <c r="C166" s="10" t="str">
        <f aca="false">IF($H166="","",INDEX('Work Master'!$D:$D,$H166))</f>
        <v/>
      </c>
      <c r="D166" s="10" t="str">
        <f aca="false">IF($H166="","",INDEX('Work Master'!$F:$F,$H166))</f>
        <v/>
      </c>
      <c r="E166" s="18" t="str">
        <f aca="false">IF($H166="","",INDEX('Work Master'!$J:$J,$H166))</f>
        <v/>
      </c>
      <c r="F166" s="15" t="str">
        <f aca="false">IF($H166="","",INDEX('Work Master'!$G:$G,$H166))</f>
        <v/>
      </c>
      <c r="H166" s="0" t="str">
        <f aca="false">IFERROR(MATCH(165,'Work Master'!$N:$N,0),"")</f>
        <v/>
      </c>
    </row>
    <row r="167" customFormat="false" ht="15" hidden="false" customHeight="false" outlineLevel="0" collapsed="false">
      <c r="A167" s="10" t="str">
        <f aca="false">IF($H167="","",INDEX('Work Master'!$A:$A,$H167))</f>
        <v/>
      </c>
      <c r="B167" s="10" t="str">
        <f aca="false">IF($H167="","",INDEX('Work Master'!$C:$C,$H167))</f>
        <v/>
      </c>
      <c r="C167" s="10" t="str">
        <f aca="false">IF($H167="","",INDEX('Work Master'!$D:$D,$H167))</f>
        <v/>
      </c>
      <c r="D167" s="10" t="str">
        <f aca="false">IF($H167="","",INDEX('Work Master'!$F:$F,$H167))</f>
        <v/>
      </c>
      <c r="E167" s="18" t="str">
        <f aca="false">IF($H167="","",INDEX('Work Master'!$J:$J,$H167))</f>
        <v/>
      </c>
      <c r="F167" s="15" t="str">
        <f aca="false">IF($H167="","",INDEX('Work Master'!$G:$G,$H167))</f>
        <v/>
      </c>
      <c r="H167" s="0" t="str">
        <f aca="false">IFERROR(MATCH(166,'Work Master'!$N:$N,0),"")</f>
        <v/>
      </c>
    </row>
    <row r="168" customFormat="false" ht="15" hidden="false" customHeight="false" outlineLevel="0" collapsed="false">
      <c r="A168" s="10" t="str">
        <f aca="false">IF($H168="","",INDEX('Work Master'!$A:$A,$H168))</f>
        <v/>
      </c>
      <c r="B168" s="10" t="str">
        <f aca="false">IF($H168="","",INDEX('Work Master'!$C:$C,$H168))</f>
        <v/>
      </c>
      <c r="C168" s="10" t="str">
        <f aca="false">IF($H168="","",INDEX('Work Master'!$D:$D,$H168))</f>
        <v/>
      </c>
      <c r="D168" s="10" t="str">
        <f aca="false">IF($H168="","",INDEX('Work Master'!$F:$F,$H168))</f>
        <v/>
      </c>
      <c r="E168" s="18" t="str">
        <f aca="false">IF($H168="","",INDEX('Work Master'!$J:$J,$H168))</f>
        <v/>
      </c>
      <c r="F168" s="15" t="str">
        <f aca="false">IF($H168="","",INDEX('Work Master'!$G:$G,$H168))</f>
        <v/>
      </c>
      <c r="H168" s="0" t="str">
        <f aca="false">IFERROR(MATCH(167,'Work Master'!$N:$N,0),"")</f>
        <v/>
      </c>
    </row>
    <row r="169" customFormat="false" ht="15" hidden="false" customHeight="false" outlineLevel="0" collapsed="false">
      <c r="A169" s="10" t="str">
        <f aca="false">IF($H169="","",INDEX('Work Master'!$A:$A,$H169))</f>
        <v/>
      </c>
      <c r="B169" s="10" t="str">
        <f aca="false">IF($H169="","",INDEX('Work Master'!$C:$C,$H169))</f>
        <v/>
      </c>
      <c r="C169" s="10" t="str">
        <f aca="false">IF($H169="","",INDEX('Work Master'!$D:$D,$H169))</f>
        <v/>
      </c>
      <c r="D169" s="10" t="str">
        <f aca="false">IF($H169="","",INDEX('Work Master'!$F:$F,$H169))</f>
        <v/>
      </c>
      <c r="E169" s="18" t="str">
        <f aca="false">IF($H169="","",INDEX('Work Master'!$J:$J,$H169))</f>
        <v/>
      </c>
      <c r="F169" s="15" t="str">
        <f aca="false">IF($H169="","",INDEX('Work Master'!$G:$G,$H169))</f>
        <v/>
      </c>
      <c r="H169" s="0" t="str">
        <f aca="false">IFERROR(MATCH(168,'Work Master'!$N:$N,0),"")</f>
        <v/>
      </c>
    </row>
    <row r="170" customFormat="false" ht="15" hidden="false" customHeight="false" outlineLevel="0" collapsed="false">
      <c r="A170" s="10" t="str">
        <f aca="false">IF($H170="","",INDEX('Work Master'!$A:$A,$H170))</f>
        <v/>
      </c>
      <c r="B170" s="10" t="str">
        <f aca="false">IF($H170="","",INDEX('Work Master'!$C:$C,$H170))</f>
        <v/>
      </c>
      <c r="C170" s="10" t="str">
        <f aca="false">IF($H170="","",INDEX('Work Master'!$D:$D,$H170))</f>
        <v/>
      </c>
      <c r="D170" s="10" t="str">
        <f aca="false">IF($H170="","",INDEX('Work Master'!$F:$F,$H170))</f>
        <v/>
      </c>
      <c r="E170" s="18" t="str">
        <f aca="false">IF($H170="","",INDEX('Work Master'!$J:$J,$H170))</f>
        <v/>
      </c>
      <c r="F170" s="15" t="str">
        <f aca="false">IF($H170="","",INDEX('Work Master'!$G:$G,$H170))</f>
        <v/>
      </c>
      <c r="H170" s="0" t="str">
        <f aca="false">IFERROR(MATCH(169,'Work Master'!$N:$N,0),"")</f>
        <v/>
      </c>
    </row>
    <row r="171" customFormat="false" ht="15" hidden="false" customHeight="false" outlineLevel="0" collapsed="false">
      <c r="A171" s="10" t="str">
        <f aca="false">IF($H171="","",INDEX('Work Master'!$A:$A,$H171))</f>
        <v/>
      </c>
      <c r="B171" s="10" t="str">
        <f aca="false">IF($H171="","",INDEX('Work Master'!$C:$C,$H171))</f>
        <v/>
      </c>
      <c r="C171" s="10" t="str">
        <f aca="false">IF($H171="","",INDEX('Work Master'!$D:$D,$H171))</f>
        <v/>
      </c>
      <c r="D171" s="10" t="str">
        <f aca="false">IF($H171="","",INDEX('Work Master'!$F:$F,$H171))</f>
        <v/>
      </c>
      <c r="E171" s="18" t="str">
        <f aca="false">IF($H171="","",INDEX('Work Master'!$J:$J,$H171))</f>
        <v/>
      </c>
      <c r="F171" s="15" t="str">
        <f aca="false">IF($H171="","",INDEX('Work Master'!$G:$G,$H171))</f>
        <v/>
      </c>
      <c r="H171" s="0" t="str">
        <f aca="false">IFERROR(MATCH(170,'Work Master'!$N:$N,0),"")</f>
        <v/>
      </c>
    </row>
    <row r="172" customFormat="false" ht="15" hidden="false" customHeight="false" outlineLevel="0" collapsed="false">
      <c r="A172" s="10" t="str">
        <f aca="false">IF($H172="","",INDEX('Work Master'!$A:$A,$H172))</f>
        <v/>
      </c>
      <c r="B172" s="10" t="str">
        <f aca="false">IF($H172="","",INDEX('Work Master'!$C:$C,$H172))</f>
        <v/>
      </c>
      <c r="C172" s="10" t="str">
        <f aca="false">IF($H172="","",INDEX('Work Master'!$D:$D,$H172))</f>
        <v/>
      </c>
      <c r="D172" s="10" t="str">
        <f aca="false">IF($H172="","",INDEX('Work Master'!$F:$F,$H172))</f>
        <v/>
      </c>
      <c r="E172" s="18" t="str">
        <f aca="false">IF($H172="","",INDEX('Work Master'!$J:$J,$H172))</f>
        <v/>
      </c>
      <c r="F172" s="15" t="str">
        <f aca="false">IF($H172="","",INDEX('Work Master'!$G:$G,$H172))</f>
        <v/>
      </c>
      <c r="H172" s="0" t="str">
        <f aca="false">IFERROR(MATCH(171,'Work Master'!$N:$N,0),"")</f>
        <v/>
      </c>
    </row>
    <row r="173" customFormat="false" ht="15" hidden="false" customHeight="false" outlineLevel="0" collapsed="false">
      <c r="A173" s="10" t="str">
        <f aca="false">IF($H173="","",INDEX('Work Master'!$A:$A,$H173))</f>
        <v/>
      </c>
      <c r="B173" s="10" t="str">
        <f aca="false">IF($H173="","",INDEX('Work Master'!$C:$C,$H173))</f>
        <v/>
      </c>
      <c r="C173" s="10" t="str">
        <f aca="false">IF($H173="","",INDEX('Work Master'!$D:$D,$H173))</f>
        <v/>
      </c>
      <c r="D173" s="10" t="str">
        <f aca="false">IF($H173="","",INDEX('Work Master'!$F:$F,$H173))</f>
        <v/>
      </c>
      <c r="E173" s="18" t="str">
        <f aca="false">IF($H173="","",INDEX('Work Master'!$J:$J,$H173))</f>
        <v/>
      </c>
      <c r="F173" s="15" t="str">
        <f aca="false">IF($H173="","",INDEX('Work Master'!$G:$G,$H173))</f>
        <v/>
      </c>
      <c r="H173" s="0" t="str">
        <f aca="false">IFERROR(MATCH(172,'Work Master'!$N:$N,0),"")</f>
        <v/>
      </c>
    </row>
    <row r="174" customFormat="false" ht="15" hidden="false" customHeight="false" outlineLevel="0" collapsed="false">
      <c r="A174" s="10" t="str">
        <f aca="false">IF($H174="","",INDEX('Work Master'!$A:$A,$H174))</f>
        <v/>
      </c>
      <c r="B174" s="10" t="str">
        <f aca="false">IF($H174="","",INDEX('Work Master'!$C:$C,$H174))</f>
        <v/>
      </c>
      <c r="C174" s="10" t="str">
        <f aca="false">IF($H174="","",INDEX('Work Master'!$D:$D,$H174))</f>
        <v/>
      </c>
      <c r="D174" s="10" t="str">
        <f aca="false">IF($H174="","",INDEX('Work Master'!$F:$F,$H174))</f>
        <v/>
      </c>
      <c r="E174" s="18" t="str">
        <f aca="false">IF($H174="","",INDEX('Work Master'!$J:$J,$H174))</f>
        <v/>
      </c>
      <c r="F174" s="15" t="str">
        <f aca="false">IF($H174="","",INDEX('Work Master'!$G:$G,$H174))</f>
        <v/>
      </c>
      <c r="H174" s="0" t="str">
        <f aca="false">IFERROR(MATCH(173,'Work Master'!$N:$N,0),"")</f>
        <v/>
      </c>
    </row>
    <row r="175" customFormat="false" ht="15" hidden="false" customHeight="false" outlineLevel="0" collapsed="false">
      <c r="A175" s="10" t="str">
        <f aca="false">IF($H175="","",INDEX('Work Master'!$A:$A,$H175))</f>
        <v/>
      </c>
      <c r="B175" s="10" t="str">
        <f aca="false">IF($H175="","",INDEX('Work Master'!$C:$C,$H175))</f>
        <v/>
      </c>
      <c r="C175" s="10" t="str">
        <f aca="false">IF($H175="","",INDEX('Work Master'!$D:$D,$H175))</f>
        <v/>
      </c>
      <c r="D175" s="10" t="str">
        <f aca="false">IF($H175="","",INDEX('Work Master'!$F:$F,$H175))</f>
        <v/>
      </c>
      <c r="E175" s="18" t="str">
        <f aca="false">IF($H175="","",INDEX('Work Master'!$J:$J,$H175))</f>
        <v/>
      </c>
      <c r="F175" s="15" t="str">
        <f aca="false">IF($H175="","",INDEX('Work Master'!$G:$G,$H175))</f>
        <v/>
      </c>
      <c r="H175" s="0" t="str">
        <f aca="false">IFERROR(MATCH(174,'Work Master'!$N:$N,0),"")</f>
        <v/>
      </c>
    </row>
    <row r="176" customFormat="false" ht="15" hidden="false" customHeight="false" outlineLevel="0" collapsed="false">
      <c r="A176" s="10" t="str">
        <f aca="false">IF($H176="","",INDEX('Work Master'!$A:$A,$H176))</f>
        <v/>
      </c>
      <c r="B176" s="10" t="str">
        <f aca="false">IF($H176="","",INDEX('Work Master'!$C:$C,$H176))</f>
        <v/>
      </c>
      <c r="C176" s="10" t="str">
        <f aca="false">IF($H176="","",INDEX('Work Master'!$D:$D,$H176))</f>
        <v/>
      </c>
      <c r="D176" s="10" t="str">
        <f aca="false">IF($H176="","",INDEX('Work Master'!$F:$F,$H176))</f>
        <v/>
      </c>
      <c r="E176" s="18" t="str">
        <f aca="false">IF($H176="","",INDEX('Work Master'!$J:$J,$H176))</f>
        <v/>
      </c>
      <c r="F176" s="15" t="str">
        <f aca="false">IF($H176="","",INDEX('Work Master'!$G:$G,$H176))</f>
        <v/>
      </c>
      <c r="H176" s="0" t="str">
        <f aca="false">IFERROR(MATCH(175,'Work Master'!$N:$N,0),"")</f>
        <v/>
      </c>
    </row>
    <row r="177" customFormat="false" ht="15" hidden="false" customHeight="false" outlineLevel="0" collapsed="false">
      <c r="A177" s="10" t="str">
        <f aca="false">IF($H177="","",INDEX('Work Master'!$A:$A,$H177))</f>
        <v/>
      </c>
      <c r="B177" s="10" t="str">
        <f aca="false">IF($H177="","",INDEX('Work Master'!$C:$C,$H177))</f>
        <v/>
      </c>
      <c r="C177" s="10" t="str">
        <f aca="false">IF($H177="","",INDEX('Work Master'!$D:$D,$H177))</f>
        <v/>
      </c>
      <c r="D177" s="10" t="str">
        <f aca="false">IF($H177="","",INDEX('Work Master'!$F:$F,$H177))</f>
        <v/>
      </c>
      <c r="E177" s="18" t="str">
        <f aca="false">IF($H177="","",INDEX('Work Master'!$J:$J,$H177))</f>
        <v/>
      </c>
      <c r="F177" s="15" t="str">
        <f aca="false">IF($H177="","",INDEX('Work Master'!$G:$G,$H177))</f>
        <v/>
      </c>
      <c r="H177" s="0" t="str">
        <f aca="false">IFERROR(MATCH(176,'Work Master'!$N:$N,0),"")</f>
        <v/>
      </c>
    </row>
    <row r="178" customFormat="false" ht="15" hidden="false" customHeight="false" outlineLevel="0" collapsed="false">
      <c r="A178" s="10" t="str">
        <f aca="false">IF($H178="","",INDEX('Work Master'!$A:$A,$H178))</f>
        <v/>
      </c>
      <c r="B178" s="10" t="str">
        <f aca="false">IF($H178="","",INDEX('Work Master'!$C:$C,$H178))</f>
        <v/>
      </c>
      <c r="C178" s="10" t="str">
        <f aca="false">IF($H178="","",INDEX('Work Master'!$D:$D,$H178))</f>
        <v/>
      </c>
      <c r="D178" s="10" t="str">
        <f aca="false">IF($H178="","",INDEX('Work Master'!$F:$F,$H178))</f>
        <v/>
      </c>
      <c r="E178" s="18" t="str">
        <f aca="false">IF($H178="","",INDEX('Work Master'!$J:$J,$H178))</f>
        <v/>
      </c>
      <c r="F178" s="15" t="str">
        <f aca="false">IF($H178="","",INDEX('Work Master'!$G:$G,$H178))</f>
        <v/>
      </c>
      <c r="H178" s="0" t="str">
        <f aca="false">IFERROR(MATCH(177,'Work Master'!$N:$N,0),"")</f>
        <v/>
      </c>
    </row>
    <row r="179" customFormat="false" ht="15" hidden="false" customHeight="false" outlineLevel="0" collapsed="false">
      <c r="A179" s="10" t="str">
        <f aca="false">IF($H179="","",INDEX('Work Master'!$A:$A,$H179))</f>
        <v/>
      </c>
      <c r="B179" s="10" t="str">
        <f aca="false">IF($H179="","",INDEX('Work Master'!$C:$C,$H179))</f>
        <v/>
      </c>
      <c r="C179" s="10" t="str">
        <f aca="false">IF($H179="","",INDEX('Work Master'!$D:$D,$H179))</f>
        <v/>
      </c>
      <c r="D179" s="10" t="str">
        <f aca="false">IF($H179="","",INDEX('Work Master'!$F:$F,$H179))</f>
        <v/>
      </c>
      <c r="E179" s="18" t="str">
        <f aca="false">IF($H179="","",INDEX('Work Master'!$J:$J,$H179))</f>
        <v/>
      </c>
      <c r="F179" s="15" t="str">
        <f aca="false">IF($H179="","",INDEX('Work Master'!$G:$G,$H179))</f>
        <v/>
      </c>
      <c r="H179" s="0" t="str">
        <f aca="false">IFERROR(MATCH(178,'Work Master'!$N:$N,0),"")</f>
        <v/>
      </c>
    </row>
    <row r="180" customFormat="false" ht="15" hidden="false" customHeight="false" outlineLevel="0" collapsed="false">
      <c r="A180" s="10" t="str">
        <f aca="false">IF($H180="","",INDEX('Work Master'!$A:$A,$H180))</f>
        <v/>
      </c>
      <c r="B180" s="10" t="str">
        <f aca="false">IF($H180="","",INDEX('Work Master'!$C:$C,$H180))</f>
        <v/>
      </c>
      <c r="C180" s="10" t="str">
        <f aca="false">IF($H180="","",INDEX('Work Master'!$D:$D,$H180))</f>
        <v/>
      </c>
      <c r="D180" s="10" t="str">
        <f aca="false">IF($H180="","",INDEX('Work Master'!$F:$F,$H180))</f>
        <v/>
      </c>
      <c r="E180" s="18" t="str">
        <f aca="false">IF($H180="","",INDEX('Work Master'!$J:$J,$H180))</f>
        <v/>
      </c>
      <c r="F180" s="15" t="str">
        <f aca="false">IF($H180="","",INDEX('Work Master'!$G:$G,$H180))</f>
        <v/>
      </c>
      <c r="H180" s="0" t="str">
        <f aca="false">IFERROR(MATCH(179,'Work Master'!$N:$N,0),"")</f>
        <v/>
      </c>
    </row>
    <row r="181" customFormat="false" ht="15" hidden="false" customHeight="false" outlineLevel="0" collapsed="false">
      <c r="A181" s="10" t="str">
        <f aca="false">IF($H181="","",INDEX('Work Master'!$A:$A,$H181))</f>
        <v/>
      </c>
      <c r="B181" s="10" t="str">
        <f aca="false">IF($H181="","",INDEX('Work Master'!$C:$C,$H181))</f>
        <v/>
      </c>
      <c r="C181" s="10" t="str">
        <f aca="false">IF($H181="","",INDEX('Work Master'!$D:$D,$H181))</f>
        <v/>
      </c>
      <c r="D181" s="10" t="str">
        <f aca="false">IF($H181="","",INDEX('Work Master'!$F:$F,$H181))</f>
        <v/>
      </c>
      <c r="E181" s="18" t="str">
        <f aca="false">IF($H181="","",INDEX('Work Master'!$J:$J,$H181))</f>
        <v/>
      </c>
      <c r="F181" s="15" t="str">
        <f aca="false">IF($H181="","",INDEX('Work Master'!$G:$G,$H181))</f>
        <v/>
      </c>
      <c r="H181" s="0" t="str">
        <f aca="false">IFERROR(MATCH(180,'Work Master'!$N:$N,0),"")</f>
        <v/>
      </c>
    </row>
    <row r="182" customFormat="false" ht="15" hidden="false" customHeight="false" outlineLevel="0" collapsed="false">
      <c r="A182" s="10" t="str">
        <f aca="false">IF($H182="","",INDEX('Work Master'!$A:$A,$H182))</f>
        <v/>
      </c>
      <c r="B182" s="10" t="str">
        <f aca="false">IF($H182="","",INDEX('Work Master'!$C:$C,$H182))</f>
        <v/>
      </c>
      <c r="C182" s="10" t="str">
        <f aca="false">IF($H182="","",INDEX('Work Master'!$D:$D,$H182))</f>
        <v/>
      </c>
      <c r="D182" s="10" t="str">
        <f aca="false">IF($H182="","",INDEX('Work Master'!$F:$F,$H182))</f>
        <v/>
      </c>
      <c r="E182" s="18" t="str">
        <f aca="false">IF($H182="","",INDEX('Work Master'!$J:$J,$H182))</f>
        <v/>
      </c>
      <c r="F182" s="15" t="str">
        <f aca="false">IF($H182="","",INDEX('Work Master'!$G:$G,$H182))</f>
        <v/>
      </c>
      <c r="H182" s="0" t="str">
        <f aca="false">IFERROR(MATCH(181,'Work Master'!$N:$N,0),"")</f>
        <v/>
      </c>
    </row>
    <row r="183" customFormat="false" ht="15" hidden="false" customHeight="false" outlineLevel="0" collapsed="false">
      <c r="A183" s="10" t="str">
        <f aca="false">IF($H183="","",INDEX('Work Master'!$A:$A,$H183))</f>
        <v/>
      </c>
      <c r="B183" s="10" t="str">
        <f aca="false">IF($H183="","",INDEX('Work Master'!$C:$C,$H183))</f>
        <v/>
      </c>
      <c r="C183" s="10" t="str">
        <f aca="false">IF($H183="","",INDEX('Work Master'!$D:$D,$H183))</f>
        <v/>
      </c>
      <c r="D183" s="10" t="str">
        <f aca="false">IF($H183="","",INDEX('Work Master'!$F:$F,$H183))</f>
        <v/>
      </c>
      <c r="E183" s="18" t="str">
        <f aca="false">IF($H183="","",INDEX('Work Master'!$J:$J,$H183))</f>
        <v/>
      </c>
      <c r="F183" s="15" t="str">
        <f aca="false">IF($H183="","",INDEX('Work Master'!$G:$G,$H183))</f>
        <v/>
      </c>
      <c r="H183" s="0" t="str">
        <f aca="false">IFERROR(MATCH(182,'Work Master'!$N:$N,0),"")</f>
        <v/>
      </c>
    </row>
    <row r="184" customFormat="false" ht="15" hidden="false" customHeight="false" outlineLevel="0" collapsed="false">
      <c r="A184" s="10" t="str">
        <f aca="false">IF($H184="","",INDEX('Work Master'!$A:$A,$H184))</f>
        <v/>
      </c>
      <c r="B184" s="10" t="str">
        <f aca="false">IF($H184="","",INDEX('Work Master'!$C:$C,$H184))</f>
        <v/>
      </c>
      <c r="C184" s="10" t="str">
        <f aca="false">IF($H184="","",INDEX('Work Master'!$D:$D,$H184))</f>
        <v/>
      </c>
      <c r="D184" s="10" t="str">
        <f aca="false">IF($H184="","",INDEX('Work Master'!$F:$F,$H184))</f>
        <v/>
      </c>
      <c r="E184" s="18" t="str">
        <f aca="false">IF($H184="","",INDEX('Work Master'!$J:$J,$H184))</f>
        <v/>
      </c>
      <c r="F184" s="15" t="str">
        <f aca="false">IF($H184="","",INDEX('Work Master'!$G:$G,$H184))</f>
        <v/>
      </c>
      <c r="H184" s="0" t="str">
        <f aca="false">IFERROR(MATCH(183,'Work Master'!$N:$N,0),"")</f>
        <v/>
      </c>
    </row>
    <row r="185" customFormat="false" ht="15" hidden="false" customHeight="false" outlineLevel="0" collapsed="false">
      <c r="A185" s="10" t="str">
        <f aca="false">IF($H185="","",INDEX('Work Master'!$A:$A,$H185))</f>
        <v/>
      </c>
      <c r="B185" s="10" t="str">
        <f aca="false">IF($H185="","",INDEX('Work Master'!$C:$C,$H185))</f>
        <v/>
      </c>
      <c r="C185" s="10" t="str">
        <f aca="false">IF($H185="","",INDEX('Work Master'!$D:$D,$H185))</f>
        <v/>
      </c>
      <c r="D185" s="10" t="str">
        <f aca="false">IF($H185="","",INDEX('Work Master'!$F:$F,$H185))</f>
        <v/>
      </c>
      <c r="E185" s="18" t="str">
        <f aca="false">IF($H185="","",INDEX('Work Master'!$J:$J,$H185))</f>
        <v/>
      </c>
      <c r="F185" s="15" t="str">
        <f aca="false">IF($H185="","",INDEX('Work Master'!$G:$G,$H185))</f>
        <v/>
      </c>
      <c r="H185" s="0" t="str">
        <f aca="false">IFERROR(MATCH(184,'Work Master'!$N:$N,0),"")</f>
        <v/>
      </c>
    </row>
    <row r="186" customFormat="false" ht="15" hidden="false" customHeight="false" outlineLevel="0" collapsed="false">
      <c r="A186" s="10" t="str">
        <f aca="false">IF($H186="","",INDEX('Work Master'!$A:$A,$H186))</f>
        <v/>
      </c>
      <c r="B186" s="10" t="str">
        <f aca="false">IF($H186="","",INDEX('Work Master'!$C:$C,$H186))</f>
        <v/>
      </c>
      <c r="C186" s="10" t="str">
        <f aca="false">IF($H186="","",INDEX('Work Master'!$D:$D,$H186))</f>
        <v/>
      </c>
      <c r="D186" s="10" t="str">
        <f aca="false">IF($H186="","",INDEX('Work Master'!$F:$F,$H186))</f>
        <v/>
      </c>
      <c r="E186" s="18" t="str">
        <f aca="false">IF($H186="","",INDEX('Work Master'!$J:$J,$H186))</f>
        <v/>
      </c>
      <c r="F186" s="15" t="str">
        <f aca="false">IF($H186="","",INDEX('Work Master'!$G:$G,$H186))</f>
        <v/>
      </c>
      <c r="H186" s="0" t="str">
        <f aca="false">IFERROR(MATCH(185,'Work Master'!$N:$N,0),"")</f>
        <v/>
      </c>
    </row>
    <row r="187" customFormat="false" ht="15" hidden="false" customHeight="false" outlineLevel="0" collapsed="false">
      <c r="A187" s="10" t="str">
        <f aca="false">IF($H187="","",INDEX('Work Master'!$A:$A,$H187))</f>
        <v/>
      </c>
      <c r="B187" s="10" t="str">
        <f aca="false">IF($H187="","",INDEX('Work Master'!$C:$C,$H187))</f>
        <v/>
      </c>
      <c r="C187" s="10" t="str">
        <f aca="false">IF($H187="","",INDEX('Work Master'!$D:$D,$H187))</f>
        <v/>
      </c>
      <c r="D187" s="10" t="str">
        <f aca="false">IF($H187="","",INDEX('Work Master'!$F:$F,$H187))</f>
        <v/>
      </c>
      <c r="E187" s="18" t="str">
        <f aca="false">IF($H187="","",INDEX('Work Master'!$J:$J,$H187))</f>
        <v/>
      </c>
      <c r="F187" s="15" t="str">
        <f aca="false">IF($H187="","",INDEX('Work Master'!$G:$G,$H187))</f>
        <v/>
      </c>
      <c r="H187" s="0" t="str">
        <f aca="false">IFERROR(MATCH(186,'Work Master'!$N:$N,0),"")</f>
        <v/>
      </c>
    </row>
    <row r="188" customFormat="false" ht="15" hidden="false" customHeight="false" outlineLevel="0" collapsed="false">
      <c r="A188" s="10" t="str">
        <f aca="false">IF($H188="","",INDEX('Work Master'!$A:$A,$H188))</f>
        <v/>
      </c>
      <c r="B188" s="10" t="str">
        <f aca="false">IF($H188="","",INDEX('Work Master'!$C:$C,$H188))</f>
        <v/>
      </c>
      <c r="C188" s="10" t="str">
        <f aca="false">IF($H188="","",INDEX('Work Master'!$D:$D,$H188))</f>
        <v/>
      </c>
      <c r="D188" s="10" t="str">
        <f aca="false">IF($H188="","",INDEX('Work Master'!$F:$F,$H188))</f>
        <v/>
      </c>
      <c r="E188" s="18" t="str">
        <f aca="false">IF($H188="","",INDEX('Work Master'!$J:$J,$H188))</f>
        <v/>
      </c>
      <c r="F188" s="15" t="str">
        <f aca="false">IF($H188="","",INDEX('Work Master'!$G:$G,$H188))</f>
        <v/>
      </c>
      <c r="H188" s="0" t="str">
        <f aca="false">IFERROR(MATCH(187,'Work Master'!$N:$N,0),"")</f>
        <v/>
      </c>
    </row>
    <row r="189" customFormat="false" ht="15" hidden="false" customHeight="false" outlineLevel="0" collapsed="false">
      <c r="A189" s="10" t="str">
        <f aca="false">IF($H189="","",INDEX('Work Master'!$A:$A,$H189))</f>
        <v/>
      </c>
      <c r="B189" s="10" t="str">
        <f aca="false">IF($H189="","",INDEX('Work Master'!$C:$C,$H189))</f>
        <v/>
      </c>
      <c r="C189" s="10" t="str">
        <f aca="false">IF($H189="","",INDEX('Work Master'!$D:$D,$H189))</f>
        <v/>
      </c>
      <c r="D189" s="10" t="str">
        <f aca="false">IF($H189="","",INDEX('Work Master'!$F:$F,$H189))</f>
        <v/>
      </c>
      <c r="E189" s="18" t="str">
        <f aca="false">IF($H189="","",INDEX('Work Master'!$J:$J,$H189))</f>
        <v/>
      </c>
      <c r="F189" s="15" t="str">
        <f aca="false">IF($H189="","",INDEX('Work Master'!$G:$G,$H189))</f>
        <v/>
      </c>
      <c r="H189" s="0" t="str">
        <f aca="false">IFERROR(MATCH(188,'Work Master'!$N:$N,0),"")</f>
        <v/>
      </c>
    </row>
    <row r="190" customFormat="false" ht="15" hidden="false" customHeight="false" outlineLevel="0" collapsed="false">
      <c r="A190" s="10" t="str">
        <f aca="false">IF($H190="","",INDEX('Work Master'!$A:$A,$H190))</f>
        <v/>
      </c>
      <c r="B190" s="10" t="str">
        <f aca="false">IF($H190="","",INDEX('Work Master'!$C:$C,$H190))</f>
        <v/>
      </c>
      <c r="C190" s="10" t="str">
        <f aca="false">IF($H190="","",INDEX('Work Master'!$D:$D,$H190))</f>
        <v/>
      </c>
      <c r="D190" s="10" t="str">
        <f aca="false">IF($H190="","",INDEX('Work Master'!$F:$F,$H190))</f>
        <v/>
      </c>
      <c r="E190" s="18" t="str">
        <f aca="false">IF($H190="","",INDEX('Work Master'!$J:$J,$H190))</f>
        <v/>
      </c>
      <c r="F190" s="15" t="str">
        <f aca="false">IF($H190="","",INDEX('Work Master'!$G:$G,$H190))</f>
        <v/>
      </c>
      <c r="H190" s="0" t="str">
        <f aca="false">IFERROR(MATCH(189,'Work Master'!$N:$N,0),"")</f>
        <v/>
      </c>
    </row>
    <row r="191" customFormat="false" ht="15" hidden="false" customHeight="false" outlineLevel="0" collapsed="false">
      <c r="A191" s="10" t="str">
        <f aca="false">IF($H191="","",INDEX('Work Master'!$A:$A,$H191))</f>
        <v/>
      </c>
      <c r="B191" s="10" t="str">
        <f aca="false">IF($H191="","",INDEX('Work Master'!$C:$C,$H191))</f>
        <v/>
      </c>
      <c r="C191" s="10" t="str">
        <f aca="false">IF($H191="","",INDEX('Work Master'!$D:$D,$H191))</f>
        <v/>
      </c>
      <c r="D191" s="10" t="str">
        <f aca="false">IF($H191="","",INDEX('Work Master'!$F:$F,$H191))</f>
        <v/>
      </c>
      <c r="E191" s="18" t="str">
        <f aca="false">IF($H191="","",INDEX('Work Master'!$J:$J,$H191))</f>
        <v/>
      </c>
      <c r="F191" s="15" t="str">
        <f aca="false">IF($H191="","",INDEX('Work Master'!$G:$G,$H191))</f>
        <v/>
      </c>
      <c r="H191" s="0" t="str">
        <f aca="false">IFERROR(MATCH(190,'Work Master'!$N:$N,0),"")</f>
        <v/>
      </c>
    </row>
    <row r="192" customFormat="false" ht="15" hidden="false" customHeight="false" outlineLevel="0" collapsed="false">
      <c r="A192" s="10" t="str">
        <f aca="false">IF($H192="","",INDEX('Work Master'!$A:$A,$H192))</f>
        <v/>
      </c>
      <c r="B192" s="10" t="str">
        <f aca="false">IF($H192="","",INDEX('Work Master'!$C:$C,$H192))</f>
        <v/>
      </c>
      <c r="C192" s="10" t="str">
        <f aca="false">IF($H192="","",INDEX('Work Master'!$D:$D,$H192))</f>
        <v/>
      </c>
      <c r="D192" s="10" t="str">
        <f aca="false">IF($H192="","",INDEX('Work Master'!$F:$F,$H192))</f>
        <v/>
      </c>
      <c r="E192" s="18" t="str">
        <f aca="false">IF($H192="","",INDEX('Work Master'!$J:$J,$H192))</f>
        <v/>
      </c>
      <c r="F192" s="15" t="str">
        <f aca="false">IF($H192="","",INDEX('Work Master'!$G:$G,$H192))</f>
        <v/>
      </c>
      <c r="H192" s="0" t="str">
        <f aca="false">IFERROR(MATCH(191,'Work Master'!$N:$N,0),"")</f>
        <v/>
      </c>
    </row>
    <row r="193" customFormat="false" ht="15" hidden="false" customHeight="false" outlineLevel="0" collapsed="false">
      <c r="A193" s="10" t="str">
        <f aca="false">IF($H193="","",INDEX('Work Master'!$A:$A,$H193))</f>
        <v/>
      </c>
      <c r="B193" s="10" t="str">
        <f aca="false">IF($H193="","",INDEX('Work Master'!$C:$C,$H193))</f>
        <v/>
      </c>
      <c r="C193" s="10" t="str">
        <f aca="false">IF($H193="","",INDEX('Work Master'!$D:$D,$H193))</f>
        <v/>
      </c>
      <c r="D193" s="10" t="str">
        <f aca="false">IF($H193="","",INDEX('Work Master'!$F:$F,$H193))</f>
        <v/>
      </c>
      <c r="E193" s="18" t="str">
        <f aca="false">IF($H193="","",INDEX('Work Master'!$J:$J,$H193))</f>
        <v/>
      </c>
      <c r="F193" s="15" t="str">
        <f aca="false">IF($H193="","",INDEX('Work Master'!$G:$G,$H193))</f>
        <v/>
      </c>
      <c r="H193" s="0" t="str">
        <f aca="false">IFERROR(MATCH(192,'Work Master'!$N:$N,0),"")</f>
        <v/>
      </c>
    </row>
    <row r="194" customFormat="false" ht="15" hidden="false" customHeight="false" outlineLevel="0" collapsed="false">
      <c r="A194" s="10" t="str">
        <f aca="false">IF($H194="","",INDEX('Work Master'!$A:$A,$H194))</f>
        <v/>
      </c>
      <c r="B194" s="10" t="str">
        <f aca="false">IF($H194="","",INDEX('Work Master'!$C:$C,$H194))</f>
        <v/>
      </c>
      <c r="C194" s="10" t="str">
        <f aca="false">IF($H194="","",INDEX('Work Master'!$D:$D,$H194))</f>
        <v/>
      </c>
      <c r="D194" s="10" t="str">
        <f aca="false">IF($H194="","",INDEX('Work Master'!$F:$F,$H194))</f>
        <v/>
      </c>
      <c r="E194" s="18" t="str">
        <f aca="false">IF($H194="","",INDEX('Work Master'!$J:$J,$H194))</f>
        <v/>
      </c>
      <c r="F194" s="15" t="str">
        <f aca="false">IF($H194="","",INDEX('Work Master'!$G:$G,$H194))</f>
        <v/>
      </c>
      <c r="H194" s="0" t="str">
        <f aca="false">IFERROR(MATCH(193,'Work Master'!$N:$N,0),"")</f>
        <v/>
      </c>
    </row>
    <row r="195" customFormat="false" ht="15" hidden="false" customHeight="false" outlineLevel="0" collapsed="false">
      <c r="A195" s="10" t="str">
        <f aca="false">IF($H195="","",INDEX('Work Master'!$A:$A,$H195))</f>
        <v/>
      </c>
      <c r="B195" s="10" t="str">
        <f aca="false">IF($H195="","",INDEX('Work Master'!$C:$C,$H195))</f>
        <v/>
      </c>
      <c r="C195" s="10" t="str">
        <f aca="false">IF($H195="","",INDEX('Work Master'!$D:$D,$H195))</f>
        <v/>
      </c>
      <c r="D195" s="10" t="str">
        <f aca="false">IF($H195="","",INDEX('Work Master'!$F:$F,$H195))</f>
        <v/>
      </c>
      <c r="E195" s="18" t="str">
        <f aca="false">IF($H195="","",INDEX('Work Master'!$J:$J,$H195))</f>
        <v/>
      </c>
      <c r="F195" s="15" t="str">
        <f aca="false">IF($H195="","",INDEX('Work Master'!$G:$G,$H195))</f>
        <v/>
      </c>
      <c r="H195" s="0" t="str">
        <f aca="false">IFERROR(MATCH(194,'Work Master'!$N:$N,0),"")</f>
        <v/>
      </c>
    </row>
    <row r="196" customFormat="false" ht="15" hidden="false" customHeight="false" outlineLevel="0" collapsed="false">
      <c r="A196" s="10" t="str">
        <f aca="false">IF($H196="","",INDEX('Work Master'!$A:$A,$H196))</f>
        <v/>
      </c>
      <c r="B196" s="10" t="str">
        <f aca="false">IF($H196="","",INDEX('Work Master'!$C:$C,$H196))</f>
        <v/>
      </c>
      <c r="C196" s="10" t="str">
        <f aca="false">IF($H196="","",INDEX('Work Master'!$D:$D,$H196))</f>
        <v/>
      </c>
      <c r="D196" s="10" t="str">
        <f aca="false">IF($H196="","",INDEX('Work Master'!$F:$F,$H196))</f>
        <v/>
      </c>
      <c r="E196" s="18" t="str">
        <f aca="false">IF($H196="","",INDEX('Work Master'!$J:$J,$H196))</f>
        <v/>
      </c>
      <c r="F196" s="15" t="str">
        <f aca="false">IF($H196="","",INDEX('Work Master'!$G:$G,$H196))</f>
        <v/>
      </c>
      <c r="H196" s="0" t="str">
        <f aca="false">IFERROR(MATCH(195,'Work Master'!$N:$N,0),"")</f>
        <v/>
      </c>
    </row>
    <row r="197" customFormat="false" ht="15" hidden="false" customHeight="false" outlineLevel="0" collapsed="false">
      <c r="A197" s="10" t="str">
        <f aca="false">IF($H197="","",INDEX('Work Master'!$A:$A,$H197))</f>
        <v/>
      </c>
      <c r="B197" s="10" t="str">
        <f aca="false">IF($H197="","",INDEX('Work Master'!$C:$C,$H197))</f>
        <v/>
      </c>
      <c r="C197" s="10" t="str">
        <f aca="false">IF($H197="","",INDEX('Work Master'!$D:$D,$H197))</f>
        <v/>
      </c>
      <c r="D197" s="10" t="str">
        <f aca="false">IF($H197="","",INDEX('Work Master'!$F:$F,$H197))</f>
        <v/>
      </c>
      <c r="E197" s="18" t="str">
        <f aca="false">IF($H197="","",INDEX('Work Master'!$J:$J,$H197))</f>
        <v/>
      </c>
      <c r="F197" s="15" t="str">
        <f aca="false">IF($H197="","",INDEX('Work Master'!$G:$G,$H197))</f>
        <v/>
      </c>
      <c r="H197" s="0" t="str">
        <f aca="false">IFERROR(MATCH(196,'Work Master'!$N:$N,0),"")</f>
        <v/>
      </c>
    </row>
    <row r="198" customFormat="false" ht="15" hidden="false" customHeight="false" outlineLevel="0" collapsed="false">
      <c r="A198" s="10" t="str">
        <f aca="false">IF($H198="","",INDEX('Work Master'!$A:$A,$H198))</f>
        <v/>
      </c>
      <c r="B198" s="10" t="str">
        <f aca="false">IF($H198="","",INDEX('Work Master'!$C:$C,$H198))</f>
        <v/>
      </c>
      <c r="C198" s="10" t="str">
        <f aca="false">IF($H198="","",INDEX('Work Master'!$D:$D,$H198))</f>
        <v/>
      </c>
      <c r="D198" s="10" t="str">
        <f aca="false">IF($H198="","",INDEX('Work Master'!$F:$F,$H198))</f>
        <v/>
      </c>
      <c r="E198" s="18" t="str">
        <f aca="false">IF($H198="","",INDEX('Work Master'!$J:$J,$H198))</f>
        <v/>
      </c>
      <c r="F198" s="15" t="str">
        <f aca="false">IF($H198="","",INDEX('Work Master'!$G:$G,$H198))</f>
        <v/>
      </c>
      <c r="H198" s="0" t="str">
        <f aca="false">IFERROR(MATCH(197,'Work Master'!$N:$N,0),"")</f>
        <v/>
      </c>
    </row>
    <row r="199" customFormat="false" ht="15" hidden="false" customHeight="false" outlineLevel="0" collapsed="false">
      <c r="A199" s="10" t="str">
        <f aca="false">IF($H199="","",INDEX('Work Master'!$A:$A,$H199))</f>
        <v/>
      </c>
      <c r="B199" s="10" t="str">
        <f aca="false">IF($H199="","",INDEX('Work Master'!$C:$C,$H199))</f>
        <v/>
      </c>
      <c r="C199" s="10" t="str">
        <f aca="false">IF($H199="","",INDEX('Work Master'!$D:$D,$H199))</f>
        <v/>
      </c>
      <c r="D199" s="10" t="str">
        <f aca="false">IF($H199="","",INDEX('Work Master'!$F:$F,$H199))</f>
        <v/>
      </c>
      <c r="E199" s="18" t="str">
        <f aca="false">IF($H199="","",INDEX('Work Master'!$J:$J,$H199))</f>
        <v/>
      </c>
      <c r="F199" s="15" t="str">
        <f aca="false">IF($H199="","",INDEX('Work Master'!$G:$G,$H199))</f>
        <v/>
      </c>
      <c r="H199" s="0" t="str">
        <f aca="false">IFERROR(MATCH(198,'Work Master'!$N:$N,0),"")</f>
        <v/>
      </c>
    </row>
    <row r="200" customFormat="false" ht="15" hidden="false" customHeight="false" outlineLevel="0" collapsed="false">
      <c r="A200" s="10" t="str">
        <f aca="false">IF($H200="","",INDEX('Work Master'!$A:$A,$H200))</f>
        <v/>
      </c>
      <c r="B200" s="10" t="str">
        <f aca="false">IF($H200="","",INDEX('Work Master'!$C:$C,$H200))</f>
        <v/>
      </c>
      <c r="C200" s="10" t="str">
        <f aca="false">IF($H200="","",INDEX('Work Master'!$D:$D,$H200))</f>
        <v/>
      </c>
      <c r="D200" s="10" t="str">
        <f aca="false">IF($H200="","",INDEX('Work Master'!$F:$F,$H200))</f>
        <v/>
      </c>
      <c r="E200" s="18" t="str">
        <f aca="false">IF($H200="","",INDEX('Work Master'!$J:$J,$H200))</f>
        <v/>
      </c>
      <c r="F200" s="15" t="str">
        <f aca="false">IF($H200="","",INDEX('Work Master'!$G:$G,$H200))</f>
        <v/>
      </c>
      <c r="H200" s="0" t="str">
        <f aca="false">IFERROR(MATCH(199,'Work Master'!$N:$N,0),"")</f>
        <v/>
      </c>
    </row>
    <row r="201" customFormat="false" ht="15" hidden="false" customHeight="false" outlineLevel="0" collapsed="false">
      <c r="A201" s="10" t="str">
        <f aca="false">IF($H201="","",INDEX('Work Master'!$A:$A,$H201))</f>
        <v/>
      </c>
      <c r="B201" s="10" t="str">
        <f aca="false">IF($H201="","",INDEX('Work Master'!$C:$C,$H201))</f>
        <v/>
      </c>
      <c r="C201" s="10" t="str">
        <f aca="false">IF($H201="","",INDEX('Work Master'!$D:$D,$H201))</f>
        <v/>
      </c>
      <c r="D201" s="10" t="str">
        <f aca="false">IF($H201="","",INDEX('Work Master'!$F:$F,$H201))</f>
        <v/>
      </c>
      <c r="E201" s="18" t="str">
        <f aca="false">IF($H201="","",INDEX('Work Master'!$J:$J,$H201))</f>
        <v/>
      </c>
      <c r="F201" s="15" t="str">
        <f aca="false">IF($H201="","",INDEX('Work Master'!$G:$G,$H201))</f>
        <v/>
      </c>
      <c r="H201" s="0" t="str">
        <f aca="false">IFERROR(MATCH(200,'Work Master'!$N:$N,0),"")</f>
        <v/>
      </c>
    </row>
    <row r="203" customFormat="false" ht="15" hidden="false" customHeight="false" outlineLevel="0" collapsed="false">
      <c r="D203" s="16" t="s">
        <v>67</v>
      </c>
      <c r="E203" s="19" t="n">
        <f aca="false">SUM(E2:E201)</f>
        <v>7000</v>
      </c>
    </row>
    <row r="205" customFormat="false" ht="15" hidden="false" customHeight="false" outlineLevel="0" collapsed="false">
      <c r="A205" s="17" t="s">
        <v>63</v>
      </c>
    </row>
  </sheetData>
  <sheetProtection sheet="true" formatCells="false" selectLockedCells="true" sort="false" autoFilter="false" selectUnlockedCells="true"/>
  <autoFilter ref="A1:F2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22"/>
  </cols>
  <sheetData>
    <row r="1" customFormat="false" ht="15" hidden="false" customHeight="false" outlineLevel="0" collapsed="false">
      <c r="A1" s="20" t="s">
        <v>17</v>
      </c>
      <c r="B1" s="20" t="s">
        <v>18</v>
      </c>
      <c r="C1" s="20" t="s">
        <v>36</v>
      </c>
      <c r="D1" s="20" t="s">
        <v>38</v>
      </c>
      <c r="E1" s="20" t="s">
        <v>68</v>
      </c>
      <c r="F1" s="20" t="s">
        <v>23</v>
      </c>
      <c r="H1" s="14" t="s">
        <v>69</v>
      </c>
    </row>
    <row r="2" customFormat="false" ht="15" hidden="false" customHeight="false" outlineLevel="0" collapsed="false">
      <c r="A2" s="9" t="s">
        <v>70</v>
      </c>
      <c r="B2" s="9" t="s">
        <v>28</v>
      </c>
      <c r="C2" s="9" t="s">
        <v>71</v>
      </c>
      <c r="D2" s="9" t="s">
        <v>54</v>
      </c>
      <c r="E2" s="9" t="s">
        <v>49</v>
      </c>
      <c r="F2" s="9" t="s">
        <v>33</v>
      </c>
    </row>
    <row r="3" customFormat="false" ht="15" hidden="false" customHeight="false" outlineLevel="0" collapsed="false">
      <c r="A3" s="9" t="s">
        <v>72</v>
      </c>
      <c r="B3" s="9" t="s">
        <v>73</v>
      </c>
      <c r="C3" s="9" t="s">
        <v>46</v>
      </c>
      <c r="D3" s="9" t="s">
        <v>48</v>
      </c>
      <c r="E3" s="9" t="s">
        <v>55</v>
      </c>
      <c r="F3" s="9" t="s">
        <v>74</v>
      </c>
    </row>
    <row r="4" customFormat="false" ht="15" hidden="false" customHeight="false" outlineLevel="0" collapsed="false">
      <c r="A4" s="9" t="s">
        <v>27</v>
      </c>
      <c r="B4" s="9" t="s">
        <v>75</v>
      </c>
      <c r="C4" s="9" t="s">
        <v>76</v>
      </c>
      <c r="D4" s="9" t="s">
        <v>77</v>
      </c>
      <c r="E4" s="9" t="s">
        <v>78</v>
      </c>
    </row>
    <row r="5" customFormat="false" ht="15" hidden="false" customHeight="false" outlineLevel="0" collapsed="false">
      <c r="A5" s="9" t="s">
        <v>79</v>
      </c>
      <c r="B5" s="9" t="s">
        <v>80</v>
      </c>
      <c r="C5" s="9" t="s">
        <v>52</v>
      </c>
      <c r="D5" s="9" t="s">
        <v>81</v>
      </c>
      <c r="E5" s="9" t="s">
        <v>82</v>
      </c>
    </row>
    <row r="6" customFormat="false" ht="15" hidden="false" customHeight="false" outlineLevel="0" collapsed="false">
      <c r="A6" s="9" t="s">
        <v>83</v>
      </c>
      <c r="B6" s="9" t="s">
        <v>84</v>
      </c>
      <c r="C6" s="9" t="s">
        <v>85</v>
      </c>
      <c r="D6" s="9" t="s">
        <v>59</v>
      </c>
      <c r="E6" s="9" t="s">
        <v>86</v>
      </c>
    </row>
    <row r="7" customFormat="false" ht="15" hidden="false" customHeight="false" outlineLevel="0" collapsed="false">
      <c r="A7" s="9" t="s">
        <v>87</v>
      </c>
      <c r="B7" s="9" t="s">
        <v>88</v>
      </c>
      <c r="C7" s="9" t="s">
        <v>89</v>
      </c>
      <c r="D7" s="9" t="s">
        <v>90</v>
      </c>
      <c r="E7" s="9" t="s">
        <v>91</v>
      </c>
    </row>
    <row r="8" customFormat="false" ht="15" hidden="false" customHeight="false" outlineLevel="0" collapsed="false">
      <c r="A8" s="9" t="s">
        <v>92</v>
      </c>
      <c r="B8" s="9" t="s">
        <v>93</v>
      </c>
      <c r="C8" s="9" t="s">
        <v>58</v>
      </c>
      <c r="D8" s="9" t="s">
        <v>94</v>
      </c>
      <c r="E8" s="9" t="s">
        <v>95</v>
      </c>
    </row>
    <row r="9" customFormat="false" ht="15" hidden="false" customHeight="false" outlineLevel="0" collapsed="false">
      <c r="A9" s="9" t="s">
        <v>96</v>
      </c>
      <c r="B9" s="9" t="s">
        <v>97</v>
      </c>
      <c r="C9" s="9" t="s">
        <v>98</v>
      </c>
      <c r="E9" s="9" t="s">
        <v>99</v>
      </c>
    </row>
    <row r="10" customFormat="false" ht="15" hidden="false" customHeight="false" outlineLevel="0" collapsed="false">
      <c r="A10" s="9" t="s">
        <v>100</v>
      </c>
      <c r="C10" s="9" t="s">
        <v>101</v>
      </c>
      <c r="E10" s="9" t="s">
        <v>102</v>
      </c>
    </row>
    <row r="11" customFormat="false" ht="15" hidden="false" customHeight="false" outlineLevel="0" collapsed="false">
      <c r="A11" s="9" t="s">
        <v>97</v>
      </c>
      <c r="C11" s="9" t="s">
        <v>103</v>
      </c>
      <c r="E11" s="9" t="s">
        <v>104</v>
      </c>
    </row>
    <row r="12" customFormat="false" ht="15" hidden="false" customHeight="false" outlineLevel="0" collapsed="false">
      <c r="C12" s="9" t="s">
        <v>105</v>
      </c>
    </row>
    <row r="13" customFormat="false" ht="15" hidden="false" customHeight="false" outlineLevel="0" collapsed="false">
      <c r="C13" s="9" t="s">
        <v>106</v>
      </c>
    </row>
    <row r="14" customFormat="false" ht="15" hidden="false" customHeight="false" outlineLevel="0" collapsed="false">
      <c r="C14" s="9" t="s">
        <v>107</v>
      </c>
    </row>
    <row r="15" customFormat="false" ht="15" hidden="false" customHeight="false" outlineLevel="0" collapsed="false">
      <c r="C15" s="9" t="s">
        <v>108</v>
      </c>
    </row>
    <row r="16" customFormat="false" ht="15" hidden="false" customHeight="false" outlineLevel="0" collapsed="false">
      <c r="C16" s="9" t="s">
        <v>97</v>
      </c>
    </row>
  </sheetData>
  <sheetProtection sheet="true" formatCells="false" selectLockedCells="true" sort="false" autoFilter="false" selectUnlockedCells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2026-08-07T16:19:08Z</dcterms:created>
  <dc:creator>openpyxl</dc:creator>
  <dc:description/>
  <dc:language>en-US</dc:language>
  <cp:lastModifiedBy/>
  <dcterms:modified xsi:type="dcterms:W3CDTF">2026-08-07T16:19:09Z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